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B\2020 PAB\"/>
    </mc:Choice>
  </mc:AlternateContent>
  <xr:revisionPtr revIDLastSave="0" documentId="13_ncr:1_{5EAB2162-8151-46E2-A726-5FD6F9552659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Totals" sheetId="5" r:id="rId1"/>
    <sheet name="2020 CF" sheetId="101" r:id="rId2"/>
    <sheet name="Aug 15" sheetId="104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17 CF" sheetId="97" r:id="rId24"/>
    <sheet name="2018 CF" sheetId="99" r:id="rId25"/>
    <sheet name="2019 CF" sheetId="100" r:id="rId26"/>
    <sheet name="Bond Buyer" sheetId="93" r:id="rId27"/>
  </sheets>
  <externalReferences>
    <externalReference r:id="rId28"/>
  </externalReferences>
  <definedNames>
    <definedName name="_xlnm._FilterDatabase" localSheetId="25" hidden="1">'2019 CF'!$A$43:$T$63</definedName>
    <definedName name="_xlnm._FilterDatabase" localSheetId="22" hidden="1">'SC5 OTHER'!$A$6:$T$74</definedName>
    <definedName name="_xlnm.Print_Area" localSheetId="9">'REGION 1'!$A$1:$N$13</definedName>
    <definedName name="_xlnm.Print_Area" localSheetId="10">'REGION 2'!$A$1:$N$12</definedName>
    <definedName name="_xlnm.Print_Area" localSheetId="11">'REGION 3'!$A$1:$N$18</definedName>
    <definedName name="_xlnm.Print_Area" localSheetId="14">'REGION 6'!$A$1:$N$20</definedName>
    <definedName name="_xlnm.Print_Area" localSheetId="3">'SC1 MRB'!$A$1:$P$38</definedName>
    <definedName name="_xlnm.Print_Area" localSheetId="4">'SC2 State Voted'!$A$1:$N$23</definedName>
    <definedName name="_xlnm.Print_Area" localSheetId="5">'SC3 Small Issue IDBs'!$A$1:$N$27</definedName>
    <definedName name="_xlnm.Print_Area" localSheetId="7">'SC4 MF- TDHCA'!$A$1:$N$39</definedName>
    <definedName name="_xlnm.Print_Area" localSheetId="22">'SC5 OTHER'!$A$1:$N$82</definedName>
    <definedName name="_xlnm.Print_Area" localSheetId="0">Totals!$A$1:$I$29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00" l="1"/>
  <c r="O37" i="100" s="1"/>
  <c r="O31" i="100"/>
  <c r="P31" i="100" s="1"/>
  <c r="H26" i="5"/>
  <c r="B52" i="93"/>
  <c r="B55" i="93" s="1"/>
  <c r="B5" i="93"/>
  <c r="B4" i="93"/>
  <c r="O32" i="100" l="1"/>
  <c r="P32" i="100" s="1"/>
  <c r="M40" i="100"/>
  <c r="M42" i="100"/>
  <c r="M76" i="100"/>
  <c r="L40" i="100"/>
  <c r="L31" i="99"/>
  <c r="B9" i="93" l="1"/>
  <c r="B103" i="93"/>
  <c r="B95" i="93"/>
  <c r="B100" i="93"/>
  <c r="B101" i="93"/>
  <c r="B99" i="93"/>
  <c r="B98" i="93"/>
  <c r="D53" i="93"/>
  <c r="B62" i="93"/>
  <c r="L87" i="101"/>
  <c r="C52" i="93"/>
  <c r="J32" i="97"/>
  <c r="L79" i="24"/>
  <c r="M65" i="100"/>
  <c r="M18" i="100"/>
  <c r="M51" i="99"/>
  <c r="M48" i="99"/>
  <c r="M31" i="99"/>
  <c r="M14" i="99"/>
  <c r="M32" i="97"/>
  <c r="M12" i="97"/>
  <c r="L32" i="100" l="1"/>
  <c r="M54" i="101" l="1"/>
  <c r="K54" i="101"/>
  <c r="I54" i="101"/>
  <c r="B14" i="93" l="1"/>
  <c r="B20" i="93"/>
  <c r="O17" i="104" l="1"/>
  <c r="O27" i="104"/>
  <c r="J76" i="101" l="1"/>
  <c r="M47" i="101"/>
  <c r="O9" i="104" l="1"/>
  <c r="L53" i="100"/>
  <c r="M64" i="24" l="1"/>
  <c r="O16" i="104"/>
  <c r="K47" i="101"/>
  <c r="I47" i="101"/>
  <c r="M63" i="101" l="1"/>
  <c r="K63" i="101"/>
  <c r="I63" i="101"/>
  <c r="O14" i="104" l="1"/>
  <c r="M52" i="101" l="1"/>
  <c r="K52" i="101"/>
  <c r="I52" i="101"/>
  <c r="M66" i="101" l="1"/>
  <c r="K66" i="101"/>
  <c r="I66" i="101"/>
  <c r="M51" i="101" l="1"/>
  <c r="M53" i="101"/>
  <c r="M55" i="101"/>
  <c r="M56" i="101"/>
  <c r="M57" i="101"/>
  <c r="M58" i="101"/>
  <c r="M59" i="101"/>
  <c r="M60" i="101"/>
  <c r="K59" i="101"/>
  <c r="I59" i="101"/>
  <c r="K57" i="101"/>
  <c r="I57" i="101"/>
  <c r="K53" i="101"/>
  <c r="I53" i="101"/>
  <c r="K56" i="101" l="1"/>
  <c r="I56" i="101"/>
  <c r="M35" i="101"/>
  <c r="K35" i="101"/>
  <c r="I35" i="101"/>
  <c r="L81" i="101" l="1"/>
  <c r="J81" i="101"/>
  <c r="M79" i="101"/>
  <c r="M81" i="101" s="1"/>
  <c r="K79" i="101"/>
  <c r="I79" i="101"/>
  <c r="M57" i="24" l="1"/>
  <c r="M55" i="24" l="1"/>
  <c r="M72" i="101" l="1"/>
  <c r="K72" i="101"/>
  <c r="I72" i="101"/>
  <c r="M70" i="101"/>
  <c r="K70" i="101"/>
  <c r="I70" i="101"/>
  <c r="M73" i="101"/>
  <c r="K73" i="101"/>
  <c r="I73" i="101"/>
  <c r="M74" i="101" l="1"/>
  <c r="K74" i="101"/>
  <c r="I74" i="101"/>
  <c r="J41" i="101"/>
  <c r="L41" i="101"/>
  <c r="M39" i="101"/>
  <c r="K39" i="101"/>
  <c r="I39" i="101"/>
  <c r="M38" i="101"/>
  <c r="K38" i="101"/>
  <c r="I38" i="101"/>
  <c r="M37" i="101"/>
  <c r="K37" i="101"/>
  <c r="I37" i="101"/>
  <c r="M36" i="101"/>
  <c r="M41" i="101" s="1"/>
  <c r="K36" i="101"/>
  <c r="I36" i="101"/>
  <c r="M34" i="101"/>
  <c r="K34" i="101"/>
  <c r="I34" i="101"/>
  <c r="M69" i="101" l="1"/>
  <c r="K69" i="101"/>
  <c r="I69" i="101"/>
  <c r="M62" i="101" l="1"/>
  <c r="K62" i="101"/>
  <c r="I62" i="101"/>
  <c r="M46" i="101"/>
  <c r="M48" i="101"/>
  <c r="M49" i="101"/>
  <c r="M50" i="101"/>
  <c r="M61" i="101"/>
  <c r="M64" i="101"/>
  <c r="M65" i="101"/>
  <c r="M67" i="101"/>
  <c r="M68" i="101"/>
  <c r="M71" i="101"/>
  <c r="K68" i="101"/>
  <c r="I68" i="101"/>
  <c r="K61" i="101"/>
  <c r="I61" i="101"/>
  <c r="K58" i="101"/>
  <c r="I58" i="101"/>
  <c r="K67" i="101"/>
  <c r="I67" i="101"/>
  <c r="K64" i="101"/>
  <c r="I64" i="101"/>
  <c r="K49" i="101"/>
  <c r="I49" i="101"/>
  <c r="K48" i="101"/>
  <c r="I48" i="101"/>
  <c r="K51" i="101"/>
  <c r="I51" i="101"/>
  <c r="K50" i="101"/>
  <c r="I50" i="101"/>
  <c r="K71" i="101"/>
  <c r="I71" i="101"/>
  <c r="K65" i="101" l="1"/>
  <c r="I65" i="101"/>
  <c r="K60" i="101"/>
  <c r="I60" i="101"/>
  <c r="M46" i="24"/>
  <c r="L76" i="101" l="1"/>
  <c r="M45" i="101"/>
  <c r="M76" i="101" s="1"/>
  <c r="K46" i="101"/>
  <c r="I46" i="101"/>
  <c r="K45" i="101" l="1"/>
  <c r="I45" i="101"/>
  <c r="K55" i="101" l="1"/>
  <c r="I55" i="101"/>
  <c r="M48" i="24" l="1"/>
  <c r="O19" i="104" l="1"/>
  <c r="B8" i="5" l="1"/>
  <c r="O12" i="104" l="1"/>
  <c r="M19" i="86" l="1"/>
  <c r="M43" i="104" l="1"/>
  <c r="K43" i="104"/>
  <c r="M44" i="24" l="1"/>
  <c r="L45" i="100" l="1"/>
  <c r="L48" i="99"/>
  <c r="L65" i="100" l="1"/>
  <c r="M10" i="24"/>
  <c r="B21" i="93"/>
  <c r="B22" i="93" l="1"/>
  <c r="B23" i="93"/>
  <c r="B25" i="93"/>
  <c r="D52" i="93" l="1"/>
  <c r="O47" i="104" l="1"/>
  <c r="L31" i="100"/>
  <c r="M12" i="30" l="1"/>
  <c r="M18" i="7" l="1"/>
  <c r="H25" i="5" l="1"/>
  <c r="K42" i="104" l="1"/>
  <c r="M42" i="104"/>
  <c r="O33" i="104" l="1"/>
  <c r="M41" i="104" l="1"/>
  <c r="K41" i="104"/>
  <c r="M60" i="24" l="1"/>
  <c r="O37" i="104" l="1"/>
  <c r="M63" i="24" l="1"/>
  <c r="M47" i="104" l="1"/>
  <c r="K47" i="104"/>
  <c r="K39" i="104"/>
  <c r="M39" i="104"/>
  <c r="M38" i="104" l="1"/>
  <c r="M37" i="104"/>
  <c r="K38" i="104"/>
  <c r="K37" i="104"/>
  <c r="F21" i="101"/>
  <c r="M41" i="24"/>
  <c r="O35" i="104"/>
  <c r="M11" i="30"/>
  <c r="L55" i="100"/>
  <c r="M18" i="86"/>
  <c r="O11" i="104"/>
  <c r="M29" i="104" l="1"/>
  <c r="M30" i="104"/>
  <c r="M31" i="104"/>
  <c r="M32" i="104"/>
  <c r="M33" i="104"/>
  <c r="M34" i="104"/>
  <c r="M35" i="104"/>
  <c r="M28" i="104"/>
  <c r="K29" i="104"/>
  <c r="K30" i="104"/>
  <c r="K31" i="104"/>
  <c r="K32" i="104"/>
  <c r="K33" i="104"/>
  <c r="K34" i="104"/>
  <c r="K35" i="104"/>
  <c r="K28" i="104"/>
  <c r="M42" i="24" l="1"/>
  <c r="O24" i="104" l="1"/>
  <c r="M54" i="24" l="1"/>
  <c r="M45" i="24"/>
  <c r="M14" i="7" l="1"/>
  <c r="M20" i="86" l="1"/>
  <c r="M16" i="86"/>
  <c r="M65" i="24"/>
  <c r="M63" i="100"/>
  <c r="M40" i="99"/>
  <c r="M27" i="104" l="1"/>
  <c r="K27" i="104"/>
  <c r="M58" i="24" l="1"/>
  <c r="M26" i="104" l="1"/>
  <c r="K26" i="104"/>
  <c r="M23" i="104" l="1"/>
  <c r="M24" i="104"/>
  <c r="M25" i="104"/>
  <c r="K23" i="104"/>
  <c r="K24" i="104"/>
  <c r="K25" i="104"/>
  <c r="K22" i="104"/>
  <c r="M22" i="104"/>
  <c r="O18" i="14" l="1"/>
  <c r="M11" i="7" l="1"/>
  <c r="K21" i="104" l="1"/>
  <c r="M21" i="104"/>
  <c r="M15" i="86"/>
  <c r="M11" i="86" l="1"/>
  <c r="M56" i="24"/>
  <c r="M59" i="24"/>
  <c r="K20" i="104" l="1"/>
  <c r="M20" i="104"/>
  <c r="M12" i="86" l="1"/>
  <c r="M7" i="74"/>
  <c r="M19" i="104" l="1"/>
  <c r="K19" i="104"/>
  <c r="K18" i="104"/>
  <c r="M18" i="104"/>
  <c r="M14" i="86"/>
  <c r="M8" i="86"/>
  <c r="M12" i="7"/>
  <c r="M13" i="86" l="1"/>
  <c r="M17" i="104" l="1"/>
  <c r="K17" i="104"/>
  <c r="K16" i="104"/>
  <c r="M16" i="104"/>
  <c r="M15" i="104" l="1"/>
  <c r="M14" i="104"/>
  <c r="M13" i="104"/>
  <c r="M12" i="104"/>
  <c r="M11" i="104"/>
  <c r="M10" i="104"/>
  <c r="M9" i="104"/>
  <c r="M8" i="104"/>
  <c r="M7" i="104"/>
  <c r="K13" i="104" l="1"/>
  <c r="K14" i="104"/>
  <c r="K15" i="104"/>
  <c r="K8" i="104"/>
  <c r="K9" i="104"/>
  <c r="K10" i="104"/>
  <c r="K11" i="104"/>
  <c r="K12" i="104"/>
  <c r="K7" i="104"/>
  <c r="I66" i="24" l="1"/>
  <c r="K66" i="24"/>
  <c r="K14" i="30"/>
  <c r="K15" i="30"/>
  <c r="K16" i="30"/>
  <c r="I14" i="30"/>
  <c r="I15" i="30"/>
  <c r="I16" i="30"/>
  <c r="I13" i="30"/>
  <c r="K13" i="30"/>
  <c r="M49" i="24" l="1"/>
  <c r="M7" i="86"/>
  <c r="M37" i="24" l="1"/>
  <c r="M12" i="18" l="1"/>
  <c r="M11" i="18"/>
  <c r="M10" i="18"/>
  <c r="M10" i="30" l="1"/>
  <c r="M9" i="30"/>
  <c r="O50" i="104" l="1"/>
  <c r="J18" i="5" s="1"/>
  <c r="N50" i="104"/>
  <c r="J16" i="5" s="1"/>
  <c r="L50" i="104"/>
  <c r="J14" i="5" s="1"/>
  <c r="I50" i="104"/>
  <c r="H50" i="104"/>
  <c r="F50" i="104"/>
  <c r="J10" i="5" s="1"/>
  <c r="M17" i="86"/>
  <c r="K15" i="14"/>
  <c r="M15" i="14"/>
  <c r="K16" i="14"/>
  <c r="M16" i="14"/>
  <c r="K17" i="14"/>
  <c r="M17" i="14"/>
  <c r="K18" i="14"/>
  <c r="M18" i="14"/>
  <c r="K14" i="14"/>
  <c r="M14" i="14"/>
  <c r="M38" i="24"/>
  <c r="J12" i="5" l="1"/>
  <c r="F52" i="104"/>
  <c r="J20" i="5" s="1"/>
  <c r="O12" i="14"/>
  <c r="M12" i="12"/>
  <c r="M11" i="12" l="1"/>
  <c r="I65" i="24"/>
  <c r="K65" i="24"/>
  <c r="K13" i="14"/>
  <c r="M13" i="14"/>
  <c r="I64" i="24"/>
  <c r="K64" i="24"/>
  <c r="M12" i="14" l="1"/>
  <c r="K12" i="14"/>
  <c r="M43" i="24" l="1"/>
  <c r="I63" i="24" l="1"/>
  <c r="K63" i="24"/>
  <c r="I21" i="86"/>
  <c r="K21" i="86"/>
  <c r="M10" i="7" l="1"/>
  <c r="O11" i="14"/>
  <c r="M15" i="7"/>
  <c r="M25" i="24" l="1"/>
  <c r="M40" i="24" l="1"/>
  <c r="M26" i="24" l="1"/>
  <c r="M14" i="24"/>
  <c r="M9" i="12"/>
  <c r="K60" i="24" l="1"/>
  <c r="K61" i="24"/>
  <c r="K62" i="24"/>
  <c r="K59" i="24"/>
  <c r="K58" i="24"/>
  <c r="M35" i="24" l="1"/>
  <c r="M34" i="24"/>
  <c r="I62" i="24"/>
  <c r="I61" i="24"/>
  <c r="I60" i="24"/>
  <c r="I59" i="24"/>
  <c r="I58" i="24"/>
  <c r="M50" i="24" l="1"/>
  <c r="M52" i="24"/>
  <c r="M53" i="24"/>
  <c r="M9" i="24" l="1"/>
  <c r="M32" i="24"/>
  <c r="M7" i="4"/>
  <c r="K20" i="86" l="1"/>
  <c r="I20" i="86"/>
  <c r="I19" i="86"/>
  <c r="K19" i="86"/>
  <c r="M39" i="24" l="1"/>
  <c r="L52" i="100" l="1"/>
  <c r="M17" i="24"/>
  <c r="L47" i="100"/>
  <c r="M8" i="12"/>
  <c r="M7" i="21"/>
  <c r="M7" i="24"/>
  <c r="M47" i="24" l="1"/>
  <c r="M36" i="24"/>
  <c r="M10" i="12" l="1"/>
  <c r="M17" i="7" l="1"/>
  <c r="M8" i="18"/>
  <c r="L54" i="100"/>
  <c r="M16" i="7"/>
  <c r="M8" i="24"/>
  <c r="L60" i="100"/>
  <c r="M60" i="100" s="1"/>
  <c r="M7" i="19"/>
  <c r="M8" i="21" l="1"/>
  <c r="K54" i="24" l="1"/>
  <c r="K57" i="24"/>
  <c r="I57" i="24"/>
  <c r="K55" i="24"/>
  <c r="I55" i="24"/>
  <c r="I54" i="24"/>
  <c r="M7" i="7"/>
  <c r="M8" i="7"/>
  <c r="M9" i="7"/>
  <c r="M16" i="24" l="1"/>
  <c r="M8" i="30" l="1"/>
  <c r="M31" i="24" l="1"/>
  <c r="I12" i="30"/>
  <c r="K12" i="30"/>
  <c r="K53" i="24"/>
  <c r="I53" i="24"/>
  <c r="K52" i="24"/>
  <c r="I52" i="24"/>
  <c r="M13" i="7"/>
  <c r="M30" i="24"/>
  <c r="M10" i="19" l="1"/>
  <c r="M8" i="19"/>
  <c r="M7" i="12"/>
  <c r="M44" i="100"/>
  <c r="M23" i="24"/>
  <c r="K50" i="24" l="1"/>
  <c r="I50" i="24"/>
  <c r="I49" i="24"/>
  <c r="K49" i="24"/>
  <c r="K47" i="24" l="1"/>
  <c r="K48" i="24"/>
  <c r="I47" i="24"/>
  <c r="I48" i="24"/>
  <c r="I46" i="24"/>
  <c r="K46" i="24"/>
  <c r="M15" i="24" l="1"/>
  <c r="M19" i="24" l="1"/>
  <c r="M18" i="24"/>
  <c r="L68" i="100" l="1"/>
  <c r="I11" i="30" l="1"/>
  <c r="K11" i="30"/>
  <c r="K45" i="24" l="1"/>
  <c r="K44" i="24"/>
  <c r="I45" i="24"/>
  <c r="I44" i="24"/>
  <c r="K42" i="24"/>
  <c r="I42" i="24"/>
  <c r="M23" i="86" l="1"/>
  <c r="M20" i="24" l="1"/>
  <c r="K18" i="7" l="1"/>
  <c r="I18" i="7"/>
  <c r="M11" i="14" l="1"/>
  <c r="K11" i="14"/>
  <c r="K10" i="14"/>
  <c r="I17" i="7"/>
  <c r="K17" i="7"/>
  <c r="K16" i="7" l="1"/>
  <c r="I16" i="7"/>
  <c r="I15" i="7"/>
  <c r="K15" i="7"/>
  <c r="K23" i="86" l="1"/>
  <c r="I23" i="86"/>
  <c r="I18" i="86"/>
  <c r="K18" i="86"/>
  <c r="M9" i="86" l="1"/>
  <c r="M10" i="86"/>
  <c r="I41" i="24"/>
  <c r="K41" i="24"/>
  <c r="M33" i="24"/>
  <c r="I14" i="7"/>
  <c r="K14" i="7"/>
  <c r="M27" i="24"/>
  <c r="M22" i="24"/>
  <c r="M21" i="24"/>
  <c r="M13" i="24"/>
  <c r="I13" i="7"/>
  <c r="K13" i="7"/>
  <c r="K17" i="86"/>
  <c r="K16" i="86"/>
  <c r="I17" i="86"/>
  <c r="I16" i="86"/>
  <c r="I15" i="86"/>
  <c r="K15" i="86"/>
  <c r="I12" i="7"/>
  <c r="K12" i="7"/>
  <c r="K10" i="30"/>
  <c r="I10" i="30"/>
  <c r="K9" i="30"/>
  <c r="I9" i="30"/>
  <c r="K39" i="24"/>
  <c r="I39" i="24"/>
  <c r="I40" i="24"/>
  <c r="I11" i="7"/>
  <c r="K11" i="7"/>
  <c r="K10" i="7"/>
  <c r="I10" i="7"/>
  <c r="M12" i="24"/>
  <c r="K43" i="24"/>
  <c r="I43" i="24"/>
  <c r="K8" i="86"/>
  <c r="K9" i="86"/>
  <c r="K10" i="86"/>
  <c r="K11" i="86"/>
  <c r="K12" i="86"/>
  <c r="K13" i="86"/>
  <c r="K14" i="86"/>
  <c r="K7" i="86"/>
  <c r="I8" i="86"/>
  <c r="I9" i="86"/>
  <c r="I10" i="86"/>
  <c r="I11" i="86"/>
  <c r="I12" i="86"/>
  <c r="I13" i="86"/>
  <c r="I14" i="86"/>
  <c r="I7" i="86"/>
  <c r="K12" i="12"/>
  <c r="I12" i="12"/>
  <c r="L44" i="86"/>
  <c r="J44" i="86"/>
  <c r="F44" i="86"/>
  <c r="G44" i="86"/>
  <c r="K10" i="19"/>
  <c r="I10" i="19"/>
  <c r="L16" i="19"/>
  <c r="J16" i="19"/>
  <c r="K7" i="74"/>
  <c r="I7" i="74"/>
  <c r="L21" i="101"/>
  <c r="M9" i="74"/>
  <c r="L9" i="74"/>
  <c r="J9" i="74"/>
  <c r="G9" i="74"/>
  <c r="F9" i="74"/>
  <c r="K9" i="7"/>
  <c r="I9" i="7"/>
  <c r="K38" i="24"/>
  <c r="I38" i="24"/>
  <c r="K37" i="24"/>
  <c r="I37" i="24"/>
  <c r="K8" i="7"/>
  <c r="I8" i="7"/>
  <c r="K12" i="18"/>
  <c r="I12" i="18"/>
  <c r="M22" i="99"/>
  <c r="O10" i="14"/>
  <c r="M9" i="76"/>
  <c r="L9" i="76"/>
  <c r="J9" i="76"/>
  <c r="G9" i="76"/>
  <c r="F9" i="76"/>
  <c r="K32" i="24"/>
  <c r="K31" i="24"/>
  <c r="I32" i="24"/>
  <c r="I31" i="24"/>
  <c r="K40" i="24"/>
  <c r="K11" i="12"/>
  <c r="I11" i="12"/>
  <c r="K10" i="12"/>
  <c r="I10" i="12"/>
  <c r="K11" i="18"/>
  <c r="I11" i="18"/>
  <c r="M7" i="18"/>
  <c r="O9" i="14"/>
  <c r="K10" i="18"/>
  <c r="I10" i="18"/>
  <c r="K36" i="24"/>
  <c r="I36" i="24"/>
  <c r="M24" i="24"/>
  <c r="M9" i="18"/>
  <c r="I27" i="24"/>
  <c r="K27" i="24"/>
  <c r="K33" i="24"/>
  <c r="I33" i="24"/>
  <c r="M10" i="100"/>
  <c r="M10" i="14"/>
  <c r="K7" i="7"/>
  <c r="I7" i="7"/>
  <c r="K8" i="30"/>
  <c r="I8" i="30"/>
  <c r="M56" i="100"/>
  <c r="M9" i="100"/>
  <c r="M8" i="100"/>
  <c r="M7" i="100"/>
  <c r="K30" i="24"/>
  <c r="I30" i="24"/>
  <c r="K8" i="19"/>
  <c r="I8" i="19"/>
  <c r="K7" i="30"/>
  <c r="I7" i="30"/>
  <c r="K8" i="21"/>
  <c r="I8" i="21"/>
  <c r="K7" i="4"/>
  <c r="I7" i="4"/>
  <c r="K26" i="24"/>
  <c r="I26" i="24"/>
  <c r="K25" i="24"/>
  <c r="I25" i="24"/>
  <c r="M11" i="24"/>
  <c r="K24" i="24"/>
  <c r="I24" i="24"/>
  <c r="K23" i="24"/>
  <c r="I23" i="24"/>
  <c r="K9" i="12"/>
  <c r="I9" i="12"/>
  <c r="K7" i="21"/>
  <c r="I7" i="21"/>
  <c r="K22" i="24"/>
  <c r="I22" i="24"/>
  <c r="K21" i="24"/>
  <c r="I21" i="24"/>
  <c r="G18" i="100"/>
  <c r="K20" i="24"/>
  <c r="I20" i="24"/>
  <c r="K19" i="24"/>
  <c r="I19" i="24"/>
  <c r="K8" i="12"/>
  <c r="I8" i="12"/>
  <c r="I18" i="24"/>
  <c r="K18" i="24"/>
  <c r="K17" i="24"/>
  <c r="I17" i="24"/>
  <c r="K16" i="24"/>
  <c r="I16" i="24"/>
  <c r="I15" i="24"/>
  <c r="K15" i="24"/>
  <c r="L16" i="18"/>
  <c r="J16" i="18"/>
  <c r="G16" i="18"/>
  <c r="K14" i="24"/>
  <c r="I14" i="24"/>
  <c r="K9" i="18"/>
  <c r="I9" i="18"/>
  <c r="K9" i="14"/>
  <c r="M9" i="14"/>
  <c r="K13" i="24"/>
  <c r="I13" i="24"/>
  <c r="M41" i="99"/>
  <c r="K7" i="19"/>
  <c r="I7" i="19"/>
  <c r="K12" i="24"/>
  <c r="K11" i="24"/>
  <c r="I12" i="24"/>
  <c r="I11" i="24"/>
  <c r="K7" i="12"/>
  <c r="I7" i="12"/>
  <c r="K8" i="18"/>
  <c r="I8" i="18"/>
  <c r="K7" i="18"/>
  <c r="I7" i="18"/>
  <c r="K10" i="24"/>
  <c r="K8" i="24"/>
  <c r="K9" i="24"/>
  <c r="K7" i="24"/>
  <c r="I8" i="24"/>
  <c r="I9" i="24"/>
  <c r="I10" i="24"/>
  <c r="I7" i="24"/>
  <c r="L70" i="100"/>
  <c r="J70" i="100"/>
  <c r="M68" i="100"/>
  <c r="M70" i="100" s="1"/>
  <c r="K68" i="100"/>
  <c r="I68" i="100"/>
  <c r="J65" i="100"/>
  <c r="K63" i="100"/>
  <c r="I63" i="100"/>
  <c r="M62" i="100"/>
  <c r="K62" i="100"/>
  <c r="I62" i="100"/>
  <c r="M61" i="100"/>
  <c r="K61" i="100"/>
  <c r="I61" i="100"/>
  <c r="K60" i="100"/>
  <c r="I60" i="100"/>
  <c r="K59" i="100"/>
  <c r="I59" i="100"/>
  <c r="M58" i="100"/>
  <c r="K58" i="100"/>
  <c r="I58" i="100"/>
  <c r="M57" i="100"/>
  <c r="K57" i="100"/>
  <c r="I57" i="100"/>
  <c r="K56" i="100"/>
  <c r="I56" i="100"/>
  <c r="M55" i="100"/>
  <c r="K55" i="100"/>
  <c r="I55" i="100"/>
  <c r="M54" i="100"/>
  <c r="K54" i="100"/>
  <c r="I54" i="100"/>
  <c r="M53" i="100"/>
  <c r="K53" i="100"/>
  <c r="I53" i="100"/>
  <c r="M52" i="100"/>
  <c r="K52" i="100"/>
  <c r="I52" i="100"/>
  <c r="M51" i="100"/>
  <c r="K51" i="100"/>
  <c r="I51" i="100"/>
  <c r="M50" i="100"/>
  <c r="K50" i="100"/>
  <c r="I50" i="100"/>
  <c r="M49" i="100"/>
  <c r="K49" i="100"/>
  <c r="I49" i="100"/>
  <c r="M48" i="100"/>
  <c r="K48" i="100"/>
  <c r="I48" i="100"/>
  <c r="M47" i="100"/>
  <c r="K47" i="100"/>
  <c r="I47" i="100"/>
  <c r="M46" i="100"/>
  <c r="K46" i="100"/>
  <c r="I46" i="100"/>
  <c r="M45" i="100"/>
  <c r="K45" i="100"/>
  <c r="I45" i="100"/>
  <c r="K44" i="100"/>
  <c r="I44" i="100"/>
  <c r="J40" i="100"/>
  <c r="M38" i="100"/>
  <c r="K38" i="100"/>
  <c r="I38" i="100"/>
  <c r="M37" i="100"/>
  <c r="K37" i="100"/>
  <c r="I37" i="100"/>
  <c r="M36" i="100"/>
  <c r="K36" i="100"/>
  <c r="I36" i="100"/>
  <c r="M35" i="100"/>
  <c r="K35" i="100"/>
  <c r="I35" i="100"/>
  <c r="M34" i="100"/>
  <c r="K34" i="100"/>
  <c r="I34" i="100"/>
  <c r="M33" i="100"/>
  <c r="K33" i="100"/>
  <c r="I33" i="100"/>
  <c r="M32" i="100"/>
  <c r="K32" i="100"/>
  <c r="I32" i="100"/>
  <c r="M31" i="100"/>
  <c r="K31" i="100"/>
  <c r="I31" i="100"/>
  <c r="L18" i="100"/>
  <c r="B15" i="93" s="1"/>
  <c r="F18" i="100"/>
  <c r="M44" i="99"/>
  <c r="C8" i="5"/>
  <c r="L76" i="24"/>
  <c r="I16" i="5" s="1"/>
  <c r="J76" i="24"/>
  <c r="I14" i="5" s="1"/>
  <c r="G76" i="24"/>
  <c r="I12" i="5" s="1"/>
  <c r="B12" i="5" s="1"/>
  <c r="F76" i="24"/>
  <c r="I10" i="5" s="1"/>
  <c r="B10" i="5" s="1"/>
  <c r="F16" i="18"/>
  <c r="J14" i="99"/>
  <c r="F14" i="99"/>
  <c r="M7" i="99"/>
  <c r="E53" i="86" s="1"/>
  <c r="M8" i="99"/>
  <c r="M9" i="99"/>
  <c r="M10" i="99"/>
  <c r="M11" i="99"/>
  <c r="L14" i="99"/>
  <c r="I22" i="99"/>
  <c r="I23" i="99"/>
  <c r="M23" i="99"/>
  <c r="I24" i="99"/>
  <c r="M24" i="99"/>
  <c r="I25" i="99"/>
  <c r="M25" i="99"/>
  <c r="I26" i="99"/>
  <c r="M26" i="99"/>
  <c r="I27" i="99"/>
  <c r="M27" i="99"/>
  <c r="I28" i="99"/>
  <c r="M28" i="99"/>
  <c r="I29" i="99"/>
  <c r="M29" i="99"/>
  <c r="J31" i="99"/>
  <c r="I35" i="99"/>
  <c r="M35" i="99"/>
  <c r="J37" i="99"/>
  <c r="L37" i="99"/>
  <c r="I40" i="99"/>
  <c r="I41" i="99"/>
  <c r="I42" i="99"/>
  <c r="M42" i="99"/>
  <c r="I43" i="99"/>
  <c r="M43" i="99"/>
  <c r="E88" i="24" s="1"/>
  <c r="I44" i="99"/>
  <c r="I45" i="99"/>
  <c r="M45" i="99"/>
  <c r="I46" i="99"/>
  <c r="M46" i="99"/>
  <c r="J48" i="99"/>
  <c r="M6" i="97"/>
  <c r="M9" i="97"/>
  <c r="M10" i="97"/>
  <c r="F12" i="97"/>
  <c r="G12" i="97"/>
  <c r="L12" i="97"/>
  <c r="I19" i="97"/>
  <c r="M19" i="97"/>
  <c r="M21" i="97" s="1"/>
  <c r="J21" i="97"/>
  <c r="L21" i="97"/>
  <c r="I23" i="97"/>
  <c r="M23" i="97"/>
  <c r="I24" i="97"/>
  <c r="M24" i="97"/>
  <c r="L26" i="97"/>
  <c r="F8" i="27"/>
  <c r="G8" i="27"/>
  <c r="J8" i="27"/>
  <c r="L8" i="27"/>
  <c r="M8" i="27"/>
  <c r="F8" i="77"/>
  <c r="G8" i="77"/>
  <c r="F10" i="77" s="1"/>
  <c r="J8" i="77"/>
  <c r="L8" i="77"/>
  <c r="M8" i="77"/>
  <c r="F8" i="22"/>
  <c r="G8" i="22"/>
  <c r="J8" i="22"/>
  <c r="L8" i="22"/>
  <c r="M8" i="22"/>
  <c r="M14" i="21"/>
  <c r="F14" i="21"/>
  <c r="G14" i="21"/>
  <c r="J14" i="21"/>
  <c r="L14" i="21"/>
  <c r="F8" i="78"/>
  <c r="G8" i="78"/>
  <c r="F12" i="78" s="1"/>
  <c r="J8" i="78"/>
  <c r="L8" i="78"/>
  <c r="M8" i="78"/>
  <c r="F16" i="19"/>
  <c r="G16" i="19"/>
  <c r="M16" i="19"/>
  <c r="F8" i="44"/>
  <c r="G8" i="44"/>
  <c r="J8" i="44"/>
  <c r="L8" i="44"/>
  <c r="M8" i="44"/>
  <c r="F8" i="75"/>
  <c r="G8" i="75"/>
  <c r="J8" i="75"/>
  <c r="L8" i="75"/>
  <c r="M8" i="75"/>
  <c r="M15" i="12"/>
  <c r="F15" i="12"/>
  <c r="G15" i="12"/>
  <c r="J15" i="12"/>
  <c r="L15" i="12"/>
  <c r="F8" i="73"/>
  <c r="G8" i="73"/>
  <c r="J8" i="73"/>
  <c r="L8" i="73"/>
  <c r="M8" i="73"/>
  <c r="M29" i="7"/>
  <c r="F29" i="7"/>
  <c r="G29" i="7"/>
  <c r="G12" i="5" s="1"/>
  <c r="J29" i="7"/>
  <c r="G14" i="5" s="1"/>
  <c r="L29" i="7"/>
  <c r="G16" i="5" s="1"/>
  <c r="F19" i="30"/>
  <c r="F10" i="5" s="1"/>
  <c r="G19" i="30"/>
  <c r="F12" i="5" s="1"/>
  <c r="J19" i="30"/>
  <c r="F14" i="5" s="1"/>
  <c r="L19" i="30"/>
  <c r="F16" i="5" s="1"/>
  <c r="M19" i="30"/>
  <c r="F11" i="6"/>
  <c r="E10" i="5" s="1"/>
  <c r="G11" i="6"/>
  <c r="E12" i="5" s="1"/>
  <c r="J11" i="6"/>
  <c r="E14" i="5" s="1"/>
  <c r="L11" i="6"/>
  <c r="B18" i="93" s="1"/>
  <c r="F9" i="4"/>
  <c r="D10" i="5" s="1"/>
  <c r="G9" i="4"/>
  <c r="J9" i="4"/>
  <c r="D14" i="5" s="1"/>
  <c r="L9" i="4"/>
  <c r="B24" i="93" s="1"/>
  <c r="M9" i="4"/>
  <c r="D18" i="5" s="1"/>
  <c r="F20" i="14"/>
  <c r="H20" i="14"/>
  <c r="C10" i="5" s="1"/>
  <c r="I20" i="14"/>
  <c r="L20" i="14"/>
  <c r="C14" i="5" s="1"/>
  <c r="N20" i="14"/>
  <c r="B5" i="5"/>
  <c r="D12" i="5"/>
  <c r="M11" i="6"/>
  <c r="E18" i="5" s="1"/>
  <c r="J26" i="97"/>
  <c r="B97" i="93" l="1"/>
  <c r="B96" i="93"/>
  <c r="C26" i="5"/>
  <c r="F18" i="5"/>
  <c r="B14" i="5"/>
  <c r="C12" i="5"/>
  <c r="C20" i="5" s="1"/>
  <c r="F10" i="27"/>
  <c r="E8" i="5"/>
  <c r="E22" i="5" s="1"/>
  <c r="E28" i="5" s="1"/>
  <c r="H14" i="5"/>
  <c r="H12" i="5"/>
  <c r="F13" i="74"/>
  <c r="F20" i="12"/>
  <c r="M26" i="97"/>
  <c r="F12" i="75"/>
  <c r="M37" i="99"/>
  <c r="F12" i="44"/>
  <c r="F10" i="44"/>
  <c r="C25" i="5"/>
  <c r="F11" i="76"/>
  <c r="G18" i="5"/>
  <c r="F25" i="5"/>
  <c r="F21" i="30"/>
  <c r="E16" i="5"/>
  <c r="F13" i="6"/>
  <c r="F17" i="12"/>
  <c r="F18" i="21"/>
  <c r="F10" i="75"/>
  <c r="C16" i="5"/>
  <c r="F12" i="27"/>
  <c r="F18" i="19"/>
  <c r="H16" i="5"/>
  <c r="B16" i="5" s="1"/>
  <c r="F16" i="21"/>
  <c r="M76" i="24"/>
  <c r="I18" i="5" s="1"/>
  <c r="F11" i="4"/>
  <c r="F20" i="19"/>
  <c r="F12" i="73"/>
  <c r="F12" i="77"/>
  <c r="H24" i="5"/>
  <c r="F18" i="18"/>
  <c r="F31" i="7"/>
  <c r="F13" i="76"/>
  <c r="G26" i="5"/>
  <c r="O20" i="14"/>
  <c r="H10" i="5"/>
  <c r="D16" i="5"/>
  <c r="F12" i="22"/>
  <c r="M16" i="18"/>
  <c r="F20" i="18" s="1"/>
  <c r="F78" i="24"/>
  <c r="I20" i="5"/>
  <c r="B20" i="5" s="1"/>
  <c r="F20" i="5"/>
  <c r="C1" i="14"/>
  <c r="D20" i="5"/>
  <c r="E20" i="5"/>
  <c r="I26" i="5"/>
  <c r="G10" i="5"/>
  <c r="G20" i="5" s="1"/>
  <c r="F8" i="5"/>
  <c r="H8" i="5"/>
  <c r="I8" i="5"/>
  <c r="B3" i="93"/>
  <c r="F26" i="5"/>
  <c r="F10" i="22"/>
  <c r="G8" i="5"/>
  <c r="M44" i="86"/>
  <c r="F22" i="14"/>
  <c r="D8" i="5"/>
  <c r="D22" i="5" s="1"/>
  <c r="F46" i="86"/>
  <c r="B12" i="93" l="1"/>
  <c r="B104" i="93"/>
  <c r="B46" i="93"/>
  <c r="C1" i="6"/>
  <c r="F15" i="6" s="1"/>
  <c r="I22" i="5"/>
  <c r="F26" i="14"/>
  <c r="B27" i="93"/>
  <c r="I24" i="5"/>
  <c r="B24" i="5" s="1"/>
  <c r="C18" i="5"/>
  <c r="H18" i="5"/>
  <c r="D25" i="5"/>
  <c r="B25" i="5" s="1"/>
  <c r="B45" i="93"/>
  <c r="B26" i="5"/>
  <c r="C1" i="86"/>
  <c r="F48" i="86" s="1"/>
  <c r="H20" i="5"/>
  <c r="C1" i="24"/>
  <c r="C1" i="30"/>
  <c r="F23" i="30" s="1"/>
  <c r="F22" i="5"/>
  <c r="F28" i="5" s="1"/>
  <c r="G22" i="5"/>
  <c r="G28" i="5" s="1"/>
  <c r="C1" i="7"/>
  <c r="F33" i="7" s="1"/>
  <c r="K3" i="14"/>
  <c r="K4" i="14"/>
  <c r="C1" i="4"/>
  <c r="F13" i="4" s="1"/>
  <c r="B53" i="93" l="1"/>
  <c r="B63" i="93"/>
  <c r="F80" i="24"/>
  <c r="H22" i="5"/>
  <c r="H28" i="5" s="1"/>
  <c r="B18" i="5"/>
  <c r="B1" i="104"/>
  <c r="F59" i="104" s="1"/>
  <c r="C22" i="5"/>
  <c r="C28" i="5" s="1"/>
  <c r="I28" i="5"/>
  <c r="D28" i="5"/>
  <c r="F24" i="101" l="1"/>
  <c r="B22" i="5"/>
  <c r="B28" i="5" s="1"/>
  <c r="J8" i="5"/>
  <c r="J22" i="5" s="1"/>
  <c r="B47" i="93" l="1"/>
  <c r="B48" i="93" s="1"/>
  <c r="B50" i="93" s="1"/>
  <c r="G8" i="101"/>
  <c r="G21" i="101" l="1"/>
</calcChain>
</file>

<file path=xl/sharedStrings.xml><?xml version="1.0" encoding="utf-8"?>
<sst xmlns="http://schemas.openxmlformats.org/spreadsheetml/2006/main" count="2542" uniqueCount="591">
  <si>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</si>
  <si>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</si>
  <si>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</si>
  <si>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</si>
  <si>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</si>
  <si>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</si>
  <si>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</si>
  <si>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</si>
  <si>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</si>
  <si>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</si>
  <si>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</si>
  <si>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</si>
  <si>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</si>
  <si>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</si>
  <si>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</si>
  <si>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</si>
  <si>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</si>
  <si>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</si>
  <si>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</si>
  <si>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</si>
  <si>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</si>
  <si>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</si>
  <si>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>PRIORITY 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</si>
  <si>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</si>
  <si>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</si>
  <si>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</si>
  <si>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</si>
  <si>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</si>
  <si>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</si>
  <si>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</si>
  <si>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</si>
  <si>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</si>
  <si>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</si>
  <si>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LOT#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</si>
  <si>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</si>
  <si>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</si>
  <si>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</si>
  <si>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</si>
  <si>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</si>
  <si>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</si>
  <si>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</si>
  <si>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</si>
  <si>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</si>
  <si>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</si>
  <si>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</si>
  <si>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</si>
  <si>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</si>
  <si>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</si>
  <si>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</si>
  <si>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</si>
  <si>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</si>
  <si>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</si>
  <si>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</si>
  <si>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</si>
  <si>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</si>
  <si>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</si>
  <si>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</si>
  <si>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</si>
  <si>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</si>
  <si>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</si>
  <si>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</si>
  <si>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</si>
  <si>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</si>
  <si>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</si>
  <si>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</si>
  <si>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</si>
  <si>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</si>
  <si>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</si>
  <si>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</si>
  <si>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</si>
  <si>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</si>
  <si>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TSHAC - total - 10% 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</si>
  <si>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</si>
  <si>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</si>
  <si>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</si>
  <si>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</si>
  <si>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</si>
  <si>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</si>
  <si>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</si>
  <si>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</si>
  <si>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</si>
  <si>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City of Dallas HFC</t>
  </si>
  <si>
    <t>Dallas</t>
  </si>
  <si>
    <t>Austin</t>
  </si>
  <si>
    <t>Houston</t>
  </si>
  <si>
    <t>San Antonio</t>
  </si>
  <si>
    <t>CLOSED</t>
  </si>
  <si>
    <t>McKinney</t>
  </si>
  <si>
    <t>El Paso</t>
  </si>
  <si>
    <t>New Hope Cultural Education Facilities Finance Corporation</t>
  </si>
  <si>
    <t>Mission EDC</t>
  </si>
  <si>
    <t>Kyle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</si>
  <si>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</si>
  <si>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</si>
  <si>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</si>
  <si>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</si>
  <si>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</si>
  <si>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</si>
  <si>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</si>
  <si>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</si>
  <si>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</si>
  <si>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</si>
  <si>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</si>
  <si>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</si>
  <si>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</si>
  <si>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</si>
  <si>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</si>
  <si>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Harris County Housing Authority PFC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</si>
  <si>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</si>
  <si>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</si>
  <si>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</si>
  <si>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</si>
  <si>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</si>
  <si>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</si>
  <si>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</si>
  <si>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</si>
  <si>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</si>
  <si>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</si>
  <si>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</si>
  <si>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</si>
  <si>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</si>
  <si>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</si>
  <si>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</si>
  <si>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</si>
  <si>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</si>
  <si>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</si>
  <si>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</si>
  <si>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</si>
  <si>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</si>
  <si>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</si>
  <si>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</si>
  <si>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</si>
  <si>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</si>
  <si>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</si>
  <si>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</si>
  <si>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</si>
  <si>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</si>
  <si>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</si>
  <si>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</si>
  <si>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</si>
  <si>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</si>
  <si>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</si>
  <si>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</si>
  <si>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</si>
  <si>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</si>
  <si>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</si>
  <si>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</si>
  <si>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</si>
  <si>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</si>
  <si>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</si>
  <si>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</si>
  <si>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</si>
  <si>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Texas</t>
  </si>
  <si>
    <t>McKinney Housing Finance Corporation</t>
  </si>
  <si>
    <t>Sphinx at Throckmorton Villas</t>
  </si>
  <si>
    <t>Sphinx at Sierra Vista Senior Villas</t>
  </si>
  <si>
    <t>Austin HFC</t>
  </si>
  <si>
    <t>Alamito PFC</t>
  </si>
  <si>
    <t>San Antonio Housing Trust FC</t>
  </si>
  <si>
    <t>Round Rock</t>
  </si>
  <si>
    <t>2015 CF</t>
  </si>
  <si>
    <t>N/A</t>
  </si>
  <si>
    <t>2016 CF</t>
  </si>
  <si>
    <t>Qualified Mortgage Bonds</t>
  </si>
  <si>
    <t>Plano</t>
  </si>
  <si>
    <t>Nortex HFC</t>
  </si>
  <si>
    <t>Wichita Falls</t>
  </si>
  <si>
    <t>MCCs</t>
  </si>
  <si>
    <t>Student Loan Bonds</t>
  </si>
  <si>
    <t>McKinney HFC</t>
  </si>
  <si>
    <t>Brazos HEA</t>
  </si>
  <si>
    <t>2017 TRADITIONAL CARRYFORWARD</t>
  </si>
  <si>
    <t>Qualified Mortgage Bonds/MCCs</t>
  </si>
  <si>
    <t>17CF-001</t>
  </si>
  <si>
    <t>Priority 5</t>
  </si>
  <si>
    <t>17CF-003</t>
  </si>
  <si>
    <t>RBJ Center</t>
  </si>
  <si>
    <t>17CF-004</t>
  </si>
  <si>
    <t>Bastrop</t>
  </si>
  <si>
    <t>2017 NON TRADITIONAL CARRYFORWARD</t>
  </si>
  <si>
    <t>Leander</t>
  </si>
  <si>
    <t>CARRYFORWARD 2017</t>
  </si>
  <si>
    <t>Texarkana PFC</t>
  </si>
  <si>
    <t>Texarkana</t>
  </si>
  <si>
    <t>TSAHC</t>
  </si>
  <si>
    <t>2017 CF</t>
  </si>
  <si>
    <t>2018 TRADITIONAL CARRYFORWARD</t>
  </si>
  <si>
    <t>18CF-002</t>
  </si>
  <si>
    <t>Culebra Creek Apartments</t>
  </si>
  <si>
    <t>2018 NON TRADITIONAL CARRYFORWARD</t>
  </si>
  <si>
    <t>18CF-003</t>
  </si>
  <si>
    <t>Grand Station Apartments</t>
  </si>
  <si>
    <t>Statewide</t>
  </si>
  <si>
    <t>18CF-004</t>
  </si>
  <si>
    <t>Kyle Dacy Apartments</t>
  </si>
  <si>
    <t>18CF-005</t>
  </si>
  <si>
    <t>18CF-006</t>
  </si>
  <si>
    <t>Leander Lofts</t>
  </si>
  <si>
    <t>Buda Dacy Apartments</t>
  </si>
  <si>
    <t>Buda</t>
  </si>
  <si>
    <t>North Central Texas HFC</t>
  </si>
  <si>
    <t>Rockwall</t>
  </si>
  <si>
    <t>Las Varas PFC</t>
  </si>
  <si>
    <t>Robinson Apartments</t>
  </si>
  <si>
    <t>Single Family MRB</t>
  </si>
  <si>
    <t>QMB</t>
  </si>
  <si>
    <t>Garland HFC</t>
  </si>
  <si>
    <t>Single Family MRB Program</t>
  </si>
  <si>
    <t>Single Family Mortgage Origination Program</t>
  </si>
  <si>
    <t>THECB</t>
  </si>
  <si>
    <t>Student Loan Program</t>
  </si>
  <si>
    <t>Midland</t>
  </si>
  <si>
    <t>Single Family Mortgage Revenue Bonds</t>
  </si>
  <si>
    <t>Freeport</t>
  </si>
  <si>
    <t>Amount Available for Traditional Carryforward</t>
  </si>
  <si>
    <t>2018CF</t>
  </si>
  <si>
    <t>CARRYFORWARD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</si>
  <si>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</si>
  <si>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The Villas Del San Xavier Senior Residences</t>
  </si>
  <si>
    <t>Austin Affordable PFC, Inc.</t>
  </si>
  <si>
    <t>Bridge at Loyola Lofts</t>
  </si>
  <si>
    <t>19CF-001</t>
  </si>
  <si>
    <t>Canyon Pass Apartments</t>
  </si>
  <si>
    <t>2019 TRADITIONAL CARRYFORWARD</t>
  </si>
  <si>
    <t>San Antonio Housing Trust Finance Corporation</t>
  </si>
  <si>
    <t>19CF-002</t>
  </si>
  <si>
    <t>Mira Vista Apartments</t>
  </si>
  <si>
    <t>The Haven at Willow Creek Park</t>
  </si>
  <si>
    <t>19CF-003</t>
  </si>
  <si>
    <t>Denton County HFC</t>
  </si>
  <si>
    <t>Aubrey</t>
  </si>
  <si>
    <t>Hamilton Valley Texas Portfolio - Pool 1 (13 properties)</t>
  </si>
  <si>
    <t>Hamilton Valley Texas Portfolio - Pool 2 (8 properties)</t>
  </si>
  <si>
    <t>Alazan Courts Apartments</t>
  </si>
  <si>
    <t>Scattered Site</t>
  </si>
  <si>
    <t>Hamilton Valley Texas Portfolio - Pool 3 (1 property) The Village Apts</t>
  </si>
  <si>
    <t>Tomball</t>
  </si>
  <si>
    <t>Fishpond at Corpus Christi</t>
  </si>
  <si>
    <t>Corpus Christi</t>
  </si>
  <si>
    <t>Signature at Franklin Park Apts</t>
  </si>
  <si>
    <t>EMLI at Pecan Creek Apts</t>
  </si>
  <si>
    <t>19CF-004</t>
  </si>
  <si>
    <t>Old Pearsall Flats</t>
  </si>
  <si>
    <t>19CF-005</t>
  </si>
  <si>
    <t>Kitty Hawk Flats</t>
  </si>
  <si>
    <t>1604 Lofts Apartments</t>
  </si>
  <si>
    <t>19CF-006</t>
  </si>
  <si>
    <t>19CF-007</t>
  </si>
  <si>
    <t>Traders Flats</t>
  </si>
  <si>
    <t>Converse</t>
  </si>
  <si>
    <t>EADO 800 Lofts</t>
  </si>
  <si>
    <t>Riverstone</t>
  </si>
  <si>
    <t>The Reserves at San Marcos</t>
  </si>
  <si>
    <t>QMBs</t>
  </si>
  <si>
    <t>MRB/MCCs</t>
  </si>
  <si>
    <t>Ventura at Palmer Lane</t>
  </si>
  <si>
    <t>Manor</t>
  </si>
  <si>
    <t>Lakeway Apts</t>
  </si>
  <si>
    <t>Balch Springs</t>
  </si>
  <si>
    <t>Greenville</t>
  </si>
  <si>
    <t>Strategic Housing HFC of Travis County</t>
  </si>
  <si>
    <t>19CF-008</t>
  </si>
  <si>
    <t>Cascades at Onion Creek</t>
  </si>
  <si>
    <t>Flora Street Lofts</t>
  </si>
  <si>
    <t>Ventura at Fairgrounds</t>
  </si>
  <si>
    <t>St. John's Square Apartments</t>
  </si>
  <si>
    <t>Boyce Parmer Apartments Phase II</t>
  </si>
  <si>
    <t>Single Family MCC Program</t>
  </si>
  <si>
    <t>Richcrest Apartments</t>
  </si>
  <si>
    <t>Big Spring</t>
  </si>
  <si>
    <t>Auro Crossing Apartments</t>
  </si>
  <si>
    <t>The Pines</t>
  </si>
  <si>
    <t>The Woodlands</t>
  </si>
  <si>
    <t>Brazos Higher Education Authority, Inc.</t>
  </si>
  <si>
    <t>Zume, Inc. Series 2019</t>
  </si>
  <si>
    <r>
      <t xml:space="preserve">STATUS OF </t>
    </r>
    <r>
      <rPr>
        <b/>
        <sz val="9"/>
        <rFont val="Times New Roman"/>
        <family val="1"/>
      </rPr>
      <t>2020</t>
    </r>
    <r>
      <rPr>
        <sz val="9"/>
        <rFont val="Times New Roman"/>
        <family val="1"/>
      </rPr>
      <t xml:space="preserve"> ALLOCATION PROGRAM AS OF - </t>
    </r>
  </si>
  <si>
    <t>Port Aransas Public Finance Corporation</t>
  </si>
  <si>
    <t>Palladium Port Aransas</t>
  </si>
  <si>
    <t>Port Aransas</t>
  </si>
  <si>
    <t>Houston Housing Finance Corporation</t>
  </si>
  <si>
    <t>The St. Joe Apartments</t>
  </si>
  <si>
    <t>Las Varas Public Facility Corporation</t>
  </si>
  <si>
    <t>The Arbor at Wayforest</t>
  </si>
  <si>
    <t>Brazoria County Industrial Development Corporation</t>
  </si>
  <si>
    <t>Gladieux Metals Solid Waste Disposal Facility</t>
  </si>
  <si>
    <t>New Hope Housing Avenue J Apartments</t>
  </si>
  <si>
    <t>North Central Texas Housing Finance Corporation</t>
  </si>
  <si>
    <t>Gala at Fate</t>
  </si>
  <si>
    <t>Fate</t>
  </si>
  <si>
    <t>Student Loan Bonds Series 2020</t>
  </si>
  <si>
    <t>Austin Housing Finance Corporation</t>
  </si>
  <si>
    <t>Vi Collina</t>
  </si>
  <si>
    <t>Capital Area Housing Finance Corporation</t>
  </si>
  <si>
    <t>Grand Avenue Flats</t>
  </si>
  <si>
    <t>Hurst Public Facility Corporation</t>
  </si>
  <si>
    <t>Gala at Central Park Apartments</t>
  </si>
  <si>
    <t>Hurst</t>
  </si>
  <si>
    <t>Harris County Housing Finance Corporation</t>
  </si>
  <si>
    <t>Mortgage Revenue Bonds/ MCCs</t>
  </si>
  <si>
    <t>Harris County</t>
  </si>
  <si>
    <t>Avenue on 34th Apartments</t>
  </si>
  <si>
    <t>Tampico Apartments</t>
  </si>
  <si>
    <t>Montgomery County Housing Finance Corporation</t>
  </si>
  <si>
    <t>Mission Economic Development Corporation</t>
  </si>
  <si>
    <t>Zume, Inc. Project, Series 2020</t>
  </si>
  <si>
    <t>Austin Affordable PFC, Inc</t>
  </si>
  <si>
    <t>The Estates at Owen Tech</t>
  </si>
  <si>
    <t>Republic Services, Inc. Project, Series 2020</t>
  </si>
  <si>
    <t>McKinney Flats</t>
  </si>
  <si>
    <t>Waste Management, Inc. Project, Series 2020</t>
  </si>
  <si>
    <t>FP Hydrotreating LLC Project 1, Series 2020</t>
  </si>
  <si>
    <t>Kitty Hawk Flats Apartments</t>
  </si>
  <si>
    <t>Artisan at Parkdale Apartments</t>
  </si>
  <si>
    <t>Big Springs Economic Development Corporation</t>
  </si>
  <si>
    <t>DG Fuels, LLC</t>
  </si>
  <si>
    <t>Rowlett Housing Finance Corporation</t>
  </si>
  <si>
    <t>Residences at Merritt Hill</t>
  </si>
  <si>
    <t>Rowlett</t>
  </si>
  <si>
    <t>Midland County Public Finance Corporation</t>
  </si>
  <si>
    <t>Palladium at West Francis</t>
  </si>
  <si>
    <t>Victory Street Public Facility Corporation</t>
  </si>
  <si>
    <t>Kathryn Senior Living</t>
  </si>
  <si>
    <t>Texas Higher Education Coordinating Board</t>
  </si>
  <si>
    <t>State of Texas College Student Loan Bonds</t>
  </si>
  <si>
    <t>Travis County Housing Finance Corporation</t>
  </si>
  <si>
    <t>20-033</t>
  </si>
  <si>
    <t>Pan American Apartments</t>
  </si>
  <si>
    <t>20-038</t>
  </si>
  <si>
    <t>20-039</t>
  </si>
  <si>
    <t>Spring Villas Apartments</t>
  </si>
  <si>
    <t>Redwood</t>
  </si>
  <si>
    <t>Enclave at Lake Pointe Apartments</t>
  </si>
  <si>
    <t>Legacy Senior Residences</t>
  </si>
  <si>
    <t>2018 CF used for reservation</t>
  </si>
  <si>
    <t>The Southeast Texas Housing Finance Corporation</t>
  </si>
  <si>
    <t>The Monarch at Bay Prairie</t>
  </si>
  <si>
    <t>Bay City</t>
  </si>
  <si>
    <t>20-041</t>
  </si>
  <si>
    <t>19CF-009</t>
  </si>
  <si>
    <t>Yager Flats</t>
  </si>
  <si>
    <t>19CF-010</t>
  </si>
  <si>
    <t>Wildhorse Apartments</t>
  </si>
  <si>
    <t>CARRYFORWARD 2019</t>
  </si>
  <si>
    <t>Single Family</t>
  </si>
  <si>
    <t xml:space="preserve">210-DAY </t>
  </si>
  <si>
    <t xml:space="preserve">150-DAY </t>
  </si>
  <si>
    <t>180-DAY</t>
  </si>
  <si>
    <t xml:space="preserve">CLOSING </t>
  </si>
  <si>
    <t>Plano Public Facility Corporation</t>
  </si>
  <si>
    <t>South Terrace Apartments</t>
  </si>
  <si>
    <t>Waco</t>
  </si>
  <si>
    <t>20-043</t>
  </si>
  <si>
    <t>Texas Home Collaborative</t>
  </si>
  <si>
    <t>Oakwood Apartments</t>
  </si>
  <si>
    <t>20-044</t>
  </si>
  <si>
    <t>Springwood Apartments</t>
  </si>
  <si>
    <t>El Paso HFC</t>
  </si>
  <si>
    <t>2019 CF</t>
  </si>
  <si>
    <t>RESERVED</t>
  </si>
  <si>
    <t>March 1 Local Collapse</t>
  </si>
  <si>
    <t>WITHDRAWN</t>
  </si>
  <si>
    <t>20-045</t>
  </si>
  <si>
    <t>Hamilton Valley Rural Development Portfolio (22 properties)</t>
  </si>
  <si>
    <t>Water Project</t>
  </si>
  <si>
    <t>2019 NON TRADITIONAL CARRYFORWARD</t>
  </si>
  <si>
    <t>Nueces River Authority</t>
  </si>
  <si>
    <t>Sinton</t>
  </si>
  <si>
    <t>20-051</t>
  </si>
  <si>
    <t>Greenline North Apartments</t>
  </si>
  <si>
    <t>FishPond at Corpus Christi</t>
  </si>
  <si>
    <t xml:space="preserve">2020 STATE CEILING </t>
  </si>
  <si>
    <t>20-055</t>
  </si>
  <si>
    <t>Northwood Apartments</t>
  </si>
  <si>
    <t>20-056</t>
  </si>
  <si>
    <t>The Hollows</t>
  </si>
  <si>
    <t>Waco Public Facility Corporation II</t>
  </si>
  <si>
    <t>Woodway Village Apartments</t>
  </si>
  <si>
    <t>20-061</t>
  </si>
  <si>
    <t>Preserve at the Port Apartments</t>
  </si>
  <si>
    <t>333 Holly</t>
  </si>
  <si>
    <t>EMLI at Pecan Creek Apartments</t>
  </si>
  <si>
    <t>Denton County Housing Finance Corporation</t>
  </si>
  <si>
    <t>Kinwood Apartments</t>
  </si>
  <si>
    <t>AVAILABLE ALLOCATION 2020</t>
  </si>
  <si>
    <t>Pinewood Apartments</t>
  </si>
  <si>
    <t>Alamito Public Facilities Corporation</t>
  </si>
  <si>
    <t>20-066</t>
  </si>
  <si>
    <t>Agave East Apartments</t>
  </si>
  <si>
    <t>Del Valle</t>
  </si>
  <si>
    <t>2020 Steel Dynamics Inc. Project</t>
  </si>
  <si>
    <t>20-067</t>
  </si>
  <si>
    <t>Odessa Housing Finance Corporation</t>
  </si>
  <si>
    <t>Vera at Odessa Apartments</t>
  </si>
  <si>
    <t>Odessa</t>
  </si>
  <si>
    <t>Oaks on Clark Apartments</t>
  </si>
  <si>
    <t>CANCELLED</t>
  </si>
  <si>
    <t>Lantana at Bastrop Apartments</t>
  </si>
  <si>
    <t>SMHA Finance Public Facility Corporation</t>
  </si>
  <si>
    <t>Panhandle Regional HFC</t>
  </si>
  <si>
    <t>Hereford</t>
  </si>
  <si>
    <t>20CF-001</t>
  </si>
  <si>
    <t>2020 TRADITIONAL CARRYFORWARD</t>
  </si>
  <si>
    <t>2020 NON TRADITIONAL CARRYFORWARD</t>
  </si>
  <si>
    <t>20-073</t>
  </si>
  <si>
    <t>Echo East Apartments</t>
  </si>
  <si>
    <t>20-064</t>
  </si>
  <si>
    <t>20-074</t>
  </si>
  <si>
    <t>Northview Apartments</t>
  </si>
  <si>
    <t>Total CF Used</t>
  </si>
  <si>
    <t>The Cameron County Housing Finance Corporation</t>
  </si>
  <si>
    <t>Sunland Country Apartments</t>
  </si>
  <si>
    <t>Harlingen</t>
  </si>
  <si>
    <t>The Walzem Apartments</t>
  </si>
  <si>
    <t>Vermillion Apartments</t>
  </si>
  <si>
    <t>Old Manor Road Senior Apartments</t>
  </si>
  <si>
    <t>East Texas Seniors - Trinity Oaks Apartments Phase I &amp; II</t>
  </si>
  <si>
    <t>Sulphur Springs</t>
  </si>
  <si>
    <t>East Texas Seniors - Pine Terrace Apartments Phase I &amp; II</t>
  </si>
  <si>
    <t>Mount Pleasant</t>
  </si>
  <si>
    <t>Housing Options, Inc.</t>
  </si>
  <si>
    <t>Brooks Manor</t>
  </si>
  <si>
    <t>Bridge at Turtle Creek Apartments</t>
  </si>
  <si>
    <t>Victory Street PFC</t>
  </si>
  <si>
    <t>20CF-003</t>
  </si>
  <si>
    <t>Wildhorse Flats Apartments</t>
  </si>
  <si>
    <t>20-087</t>
  </si>
  <si>
    <t>Pecan Grove Apartments</t>
  </si>
  <si>
    <t>Sequin</t>
  </si>
  <si>
    <t>2100 Memorial Apartments</t>
  </si>
  <si>
    <t>South Houston</t>
  </si>
  <si>
    <t>Granada Terrace Apartments</t>
  </si>
  <si>
    <t>Champions Crossing Apartments</t>
  </si>
  <si>
    <t>20-094</t>
  </si>
  <si>
    <t>Cypress Creek Apartment Homes</t>
  </si>
  <si>
    <t>20-097</t>
  </si>
  <si>
    <t>The Henderson on Reinli</t>
  </si>
  <si>
    <t>The Matador</t>
  </si>
  <si>
    <t>The Conrad</t>
  </si>
  <si>
    <t>Kingswood Apartments</t>
  </si>
  <si>
    <t>20-100</t>
  </si>
  <si>
    <t>Panda Biotech LLC Project, Series 2020</t>
  </si>
  <si>
    <t>Plainview, Wichita Falls, &amp; Electra</t>
  </si>
  <si>
    <t>The Pines Apartments</t>
  </si>
  <si>
    <t>Scott Street Lofts</t>
  </si>
  <si>
    <t xml:space="preserve">North Central Texas HFC </t>
  </si>
  <si>
    <t>Gala at Waxahachie</t>
  </si>
  <si>
    <t>Waxahachie</t>
  </si>
  <si>
    <t>20-105</t>
  </si>
  <si>
    <t>20-107</t>
  </si>
  <si>
    <t>Cattleman Square Lofts Apartments</t>
  </si>
  <si>
    <t>Horizon Pointe Apartments</t>
  </si>
  <si>
    <t>Springdale Manor</t>
  </si>
  <si>
    <t>20-109</t>
  </si>
  <si>
    <t>20-110</t>
  </si>
  <si>
    <t xml:space="preserve">Trinity River PFC </t>
  </si>
  <si>
    <t>Cowan Place Apartments</t>
  </si>
  <si>
    <t>20-111</t>
  </si>
  <si>
    <t>City of Dallas Housing Finance Corporation</t>
  </si>
  <si>
    <t>The Ridge at Lancaster</t>
  </si>
  <si>
    <t>20-112</t>
  </si>
  <si>
    <t>Ridgecrest Terrace Apartments</t>
  </si>
  <si>
    <t>20-114</t>
  </si>
  <si>
    <t>Austin Manor Apts (Phase II)</t>
  </si>
  <si>
    <t>Shady Oaks Manor Apts</t>
  </si>
  <si>
    <t>20-116</t>
  </si>
  <si>
    <t>Legacy Riverside Senior Living Community</t>
  </si>
  <si>
    <t>4547 4549</t>
  </si>
  <si>
    <t>20-117</t>
  </si>
  <si>
    <t>20-118</t>
  </si>
  <si>
    <t>The Terrace at Southern Oaks Apts</t>
  </si>
  <si>
    <t>Montopolis Apartments</t>
  </si>
  <si>
    <t>W. Leo Daniels Towers</t>
  </si>
  <si>
    <t>20CF-004</t>
  </si>
  <si>
    <t>20CF-005</t>
  </si>
  <si>
    <t>Ridge at East Village</t>
  </si>
  <si>
    <t>20CF-006</t>
  </si>
  <si>
    <t>The Residences at Howard Lane</t>
  </si>
  <si>
    <t>2018 2019 CF</t>
  </si>
  <si>
    <t>2017 &amp; 2018 CF</t>
  </si>
  <si>
    <t>20-123</t>
  </si>
  <si>
    <t xml:space="preserve">4564&amp; 4561 </t>
  </si>
  <si>
    <t>2018 CF</t>
  </si>
  <si>
    <t>Student Loan Refunding Bonds</t>
  </si>
  <si>
    <t>Cove in Odessa Apt</t>
  </si>
  <si>
    <t>20-127</t>
  </si>
  <si>
    <t>Blue Water Gardens Apts</t>
  </si>
  <si>
    <t>20CF-007</t>
  </si>
  <si>
    <t>Georgetown</t>
  </si>
  <si>
    <t>Espero Landing / Asperanza Heights</t>
  </si>
  <si>
    <t>20-128</t>
  </si>
  <si>
    <t>20-129</t>
  </si>
  <si>
    <t>Murdeaux Villas</t>
  </si>
  <si>
    <t>20-130</t>
  </si>
  <si>
    <t>The Montage Apts</t>
  </si>
  <si>
    <t>20-132</t>
  </si>
  <si>
    <t>Merritt Headwaters</t>
  </si>
  <si>
    <t>Dripping Springs</t>
  </si>
  <si>
    <t>Bexar County Housing Finance Corporation</t>
  </si>
  <si>
    <t>Applewood Ranch Apartments</t>
  </si>
  <si>
    <t>20-134</t>
  </si>
  <si>
    <t>Garland Housing Finance Corporation</t>
  </si>
  <si>
    <t>Garland</t>
  </si>
  <si>
    <t>Single Family Bonds or MCCs</t>
  </si>
  <si>
    <t>20-137</t>
  </si>
  <si>
    <t>Oso Bay Apartments</t>
  </si>
  <si>
    <t>2018 &amp; 2019 CF</t>
  </si>
  <si>
    <t>2021 MCC Program</t>
  </si>
  <si>
    <t>Southeast Texas HFC</t>
  </si>
  <si>
    <t>2020 MCC Program</t>
  </si>
  <si>
    <t>Galveston Public Facility Corporation</t>
  </si>
  <si>
    <t>The Oleanders at Broadway</t>
  </si>
  <si>
    <t>Galveston</t>
  </si>
  <si>
    <t>Qualified Mortgage Bonds/ MCCs</t>
  </si>
  <si>
    <t>20-142</t>
  </si>
  <si>
    <t>Angelina and Neches River Authority IDC</t>
  </si>
  <si>
    <t>Jefferson Enterprise Energy, LLC Sewage and Solid Waste Disposal Facilities</t>
  </si>
  <si>
    <t>Lufkin</t>
  </si>
  <si>
    <t>20-143</t>
  </si>
  <si>
    <t>City Heights</t>
  </si>
  <si>
    <t>20-146</t>
  </si>
  <si>
    <t>Hidalgo Housing Development Corporation</t>
  </si>
  <si>
    <t>Progreso Heights Apartments</t>
  </si>
  <si>
    <t>Progreso</t>
  </si>
  <si>
    <t>20-148</t>
  </si>
  <si>
    <t>20-149</t>
  </si>
  <si>
    <t>20-150</t>
  </si>
  <si>
    <t>Cedar Ridge Apartments</t>
  </si>
  <si>
    <t>Shiloh Village Apartments</t>
  </si>
  <si>
    <t>Multi-Counties</t>
  </si>
  <si>
    <t>20-151</t>
  </si>
  <si>
    <t>Country Club Village Apts</t>
  </si>
  <si>
    <t>20-152</t>
  </si>
  <si>
    <t>Collapse</t>
  </si>
  <si>
    <t>CLOSING</t>
  </si>
  <si>
    <t>August 15th</t>
  </si>
  <si>
    <t>20-153</t>
  </si>
  <si>
    <t>20-154</t>
  </si>
  <si>
    <t>Historic Oaks of Allen Parkway Village</t>
  </si>
  <si>
    <t>Allen Parkway Village Apartments</t>
  </si>
  <si>
    <t>20-155</t>
  </si>
  <si>
    <t>Austin Housing Fincance Corporation</t>
  </si>
  <si>
    <t>Marshall Apartments</t>
  </si>
  <si>
    <t>Fawn Ridge Apartments</t>
  </si>
  <si>
    <t>Espero Austin at Rutland</t>
  </si>
  <si>
    <t>Pine Terrace Apartments</t>
  </si>
  <si>
    <t>Trinity Oaks Apartments</t>
  </si>
  <si>
    <t>20-160</t>
  </si>
  <si>
    <t>Sandpiper Cove Apartments</t>
  </si>
  <si>
    <t>20-161</t>
  </si>
  <si>
    <t>Kallison Ranch Apartments</t>
  </si>
  <si>
    <t>Bexar Management and Development Corporation</t>
  </si>
  <si>
    <t>20-162</t>
  </si>
  <si>
    <t>Enclave on Ross Apartments</t>
  </si>
  <si>
    <t>Amount Available</t>
  </si>
  <si>
    <t>20-163</t>
  </si>
  <si>
    <t>Watson Road Apartments</t>
  </si>
  <si>
    <t>20-164</t>
  </si>
  <si>
    <t>Copernicus Apartments</t>
  </si>
  <si>
    <t>20-165</t>
  </si>
  <si>
    <t>Tax-Exempt Student Loan Program Revenue Bonds</t>
  </si>
  <si>
    <t>20-166</t>
  </si>
  <si>
    <t>20-167</t>
  </si>
  <si>
    <t>20-168</t>
  </si>
  <si>
    <t>Copperwood Apartments</t>
  </si>
  <si>
    <t>Tamarac Pines Apartments</t>
  </si>
  <si>
    <t>TDHCA (assigned by Harris County HFC)</t>
  </si>
  <si>
    <t>Pleasant Hill Apartments</t>
  </si>
  <si>
    <t>Capitol View Flats</t>
  </si>
  <si>
    <t>20CF-008</t>
  </si>
  <si>
    <t>2018CF 2019CF</t>
  </si>
  <si>
    <t>Any available amount after 8/15 is reflected on the Aug 15 Tab</t>
  </si>
  <si>
    <t>20CF-009</t>
  </si>
  <si>
    <t>Meadow Apartments</t>
  </si>
  <si>
    <t>20CF-010</t>
  </si>
  <si>
    <t>Pflugerville</t>
  </si>
  <si>
    <t>Crystal Bend Apartments</t>
  </si>
  <si>
    <t>20CF-011</t>
  </si>
  <si>
    <t>20-170</t>
  </si>
  <si>
    <t>Any amount returned after 11/15/2020 will go towards 2020 Traditional Carryforward Applications</t>
  </si>
  <si>
    <t>20CF-012</t>
  </si>
  <si>
    <t>The Rebekah</t>
  </si>
  <si>
    <t>20CF-013</t>
  </si>
  <si>
    <t>2020NTCF</t>
  </si>
  <si>
    <t>2020TCF</t>
  </si>
  <si>
    <t>2020 Allocation</t>
  </si>
  <si>
    <t>All 2020 Allocation</t>
  </si>
  <si>
    <t>CF Abandoned (2017)</t>
  </si>
  <si>
    <t>CF used (17/18/19)</t>
  </si>
  <si>
    <t>CF Available (18/19)</t>
  </si>
  <si>
    <t>2020 Total CF</t>
  </si>
  <si>
    <t>All Available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</si>
</sst>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mm/dd/yy"/>
    <numFmt numFmtId="169" formatCode="_(&quot;$&quot;* #,##0.00_);_(&quot;$&quot;* \(#,##0.00\);_(&quot;$&quot;* &quot;-&quot;_);_(@_)"/>
    <numFmt numFmtId="170" formatCode="0.0%"/>
    <numFmt numFmtId="171" formatCode="_(&quot;$&quot;* #,##0.0_);_(&quot;$&quot;* \(#,##0.0\);_(&quot;$&quot;* &quot;-&quot;??_);_(@_)"/>
    <numFmt numFmtId="172" formatCode="_(&quot;$&quot;* #,##0.000_);_(&quot;$&quot;* \(#,##0.000\);_(&quot;$&quot;* &quot;-&quot;??_);_(@_)"/>
    <numFmt numFmtId="173" formatCode="0.000%"/>
    <numFmt numFmtId="174" formatCode="&quot;$&quot;#,##0.000"/>
    <numFmt numFmtId="175" formatCode="&quot;$&quot;#,##0.0000"/>
    <numFmt numFmtId="176" formatCode="_(&quot;$&quot;* #,##0.00000_);_(&quot;$&quot;* \(#,##0.00000\);_(&quot;$&quot;* &quot;-&quot;?????_);_(@_)"/>
    <numFmt numFmtId="177" formatCode="_(&quot;$&quot;* #,##0.0000_);_(&quot;$&quot;* \(#,##0.0000\);_(&quot;$&quot;* &quot;-&quot;????_);_(@_)"/>
    <numFmt numFmtId="178" formatCode="_(* #,##0_);_(* \(#,##0\);_(* &quot;-&quot;??_);_(@_)"/>
    <numFmt numFmtId="179" formatCode="_(* #,##0.000000_);_(* \(#,##0.000000\);_(* &quot;-&quot;??????_);_(@_)"/>
    <numFmt numFmtId="181" formatCode="_(&quot;$&quot;* #,##0.0000_);_(&quot;$&quot;* \(#,##0.0000\);_(&quot;$&quot;* &quot;-&quot;??_);_(@_)"/>
    <numFmt numFmtId="182" formatCode="&quot;$&quot;#,##0.00000"/>
    <numFmt numFmtId="183" formatCode="0.0000%"/>
    <numFmt numFmtId="184" formatCode="_(* #,##0.00000_);_(* \(#,##0.00000\);_(* &quot;-&quot;?????_);_(@_)"/>
  </numFmts>
  <fonts count="29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7.2"/>
      <name val="Verdana"/>
      <family val="2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Helvetica"/>
      <family val="2"/>
    </font>
    <font>
      <b/>
      <u/>
      <sz val="9"/>
      <name val="Times New Roman"/>
      <family val="1"/>
    </font>
    <font>
      <sz val="8.1"/>
      <name val="Verdana"/>
      <family val="2"/>
    </font>
    <font>
      <b/>
      <sz val="12"/>
      <name val="Garamond"/>
      <family val="1"/>
    </font>
    <font>
      <sz val="10"/>
      <name val="times new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8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8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Border="1"/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2" xfId="8" applyFont="1" applyBorder="1" applyAlignment="1">
      <alignment horizontal="center"/>
    </xf>
    <xf numFmtId="44" fontId="4" fillId="0" borderId="2" xfId="8" applyNumberFormat="1" applyFont="1" applyBorder="1" applyAlignment="1">
      <alignment horizontal="center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165" fontId="5" fillId="0" borderId="6" xfId="8" applyFont="1" applyBorder="1" applyAlignment="1">
      <alignment horizontal="center"/>
    </xf>
    <xf numFmtId="44" fontId="5" fillId="0" borderId="6" xfId="8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8" applyFont="1" applyAlignment="1">
      <alignment horizontal="center"/>
    </xf>
    <xf numFmtId="165" fontId="4" fillId="0" borderId="6" xfId="8" applyFont="1" applyBorder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2" xfId="8" applyFont="1" applyBorder="1" applyAlignment="1">
      <alignment horizontal="right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6" fontId="4" fillId="0" borderId="0" xfId="8" applyNumberFormat="1" applyFont="1" applyAlignment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6" fontId="4" fillId="0" borderId="2" xfId="8" applyNumberFormat="1" applyFont="1" applyBorder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166" fontId="4" fillId="0" borderId="6" xfId="8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6" fontId="4" fillId="0" borderId="2" xfId="8" applyNumberFormat="1" applyFont="1" applyBorder="1" applyAlignment="1">
      <alignment horizontal="right"/>
    </xf>
    <xf numFmtId="164" fontId="4" fillId="0" borderId="2" xfId="8" applyNumberFormat="1" applyFont="1" applyBorder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164" fontId="5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6" fontId="4" fillId="0" borderId="6" xfId="8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Border="1" applyAlignment="1">
      <alignment horizontal="center"/>
    </xf>
    <xf numFmtId="42" fontId="4" fillId="0" borderId="9" xfId="8" applyNumberFormat="1" applyFont="1" applyBorder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4" fontId="4" fillId="0" borderId="9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2" fontId="5" fillId="0" borderId="0" xfId="8" applyNumberFormat="1" applyFont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2" fontId="4" fillId="0" borderId="0" xfId="0" applyNumberFormat="1" applyFont="1" applyBorder="1"/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14" fontId="4" fillId="0" borderId="6" xfId="0" applyNumberFormat="1" applyFont="1" applyBorder="1" applyAlignment="1">
      <alignment horizontal="center"/>
    </xf>
    <xf numFmtId="164" fontId="4" fillId="0" borderId="6" xfId="8" applyNumberFormat="1" applyFont="1" applyBorder="1" applyAlignment="1">
      <alignment horizontal="right"/>
    </xf>
    <xf numFmtId="14" fontId="4" fillId="0" borderId="8" xfId="0" applyNumberFormat="1" applyFont="1" applyBorder="1" applyAlignment="1">
      <alignment horizontal="center"/>
    </xf>
    <xf numFmtId="42" fontId="5" fillId="0" borderId="0" xfId="8" applyNumberFormat="1" applyFont="1" applyBorder="1" applyAlignment="1">
      <alignment horizontal="center"/>
    </xf>
    <xf numFmtId="42" fontId="4" fillId="0" borderId="9" xfId="8" applyNumberFormat="1" applyFont="1" applyBorder="1" applyAlignment="1">
      <alignment horizontal="right"/>
    </xf>
    <xf numFmtId="42" fontId="4" fillId="0" borderId="0" xfId="8" applyNumberFormat="1" applyFont="1" applyAlignment="1"/>
    <xf numFmtId="42" fontId="4" fillId="0" borderId="9" xfId="8" applyNumberFormat="1" applyFont="1" applyBorder="1" applyAlignment="1"/>
    <xf numFmtId="164" fontId="4" fillId="0" borderId="9" xfId="0" applyNumberFormat="1" applyFont="1" applyBorder="1" applyAlignment="1">
      <alignment horizontal="right"/>
    </xf>
    <xf numFmtId="42" fontId="4" fillId="0" borderId="9" xfId="0" applyNumberFormat="1" applyFont="1" applyBorder="1" applyAlignment="1">
      <alignment horizontal="center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44" fontId="4" fillId="0" borderId="0" xfId="8" applyNumberFormat="1" applyFont="1" applyBorder="1"/>
    <xf numFmtId="0" fontId="4" fillId="0" borderId="0" xfId="0" applyFont="1" applyBorder="1" applyAlignment="1">
      <alignment horizontal="left"/>
    </xf>
    <xf numFmtId="169" fontId="4" fillId="0" borderId="0" xfId="0" applyNumberFormat="1" applyFont="1" applyAlignment="1">
      <alignment horizontal="center"/>
    </xf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4" fontId="4" fillId="0" borderId="0" xfId="0" quotePrefix="1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Border="1" applyAlignment="1">
      <alignment horizontal="right"/>
    </xf>
    <xf numFmtId="42" fontId="4" fillId="0" borderId="12" xfId="0" applyNumberFormat="1" applyFont="1" applyBorder="1" applyAlignment="1">
      <alignment horizontal="center"/>
    </xf>
    <xf numFmtId="172" fontId="4" fillId="0" borderId="0" xfId="0" applyNumberFormat="1" applyFont="1" applyAlignment="1">
      <alignment horizontal="right"/>
    </xf>
    <xf numFmtId="165" fontId="4" fillId="0" borderId="0" xfId="8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4" fontId="4" fillId="0" borderId="0" xfId="0" applyNumberFormat="1" applyFont="1" applyBorder="1" applyAlignment="1">
      <alignment horizontal="center"/>
    </xf>
    <xf numFmtId="9" fontId="4" fillId="0" borderId="0" xfId="48" applyFont="1"/>
    <xf numFmtId="168" fontId="4" fillId="0" borderId="0" xfId="0" applyNumberFormat="1" applyFont="1" applyBorder="1" applyAlignment="1">
      <alignment horizontal="right"/>
    </xf>
    <xf numFmtId="43" fontId="4" fillId="0" borderId="0" xfId="1" applyFont="1" applyAlignment="1">
      <alignment horizontal="center"/>
    </xf>
    <xf numFmtId="166" fontId="4" fillId="0" borderId="0" xfId="48" applyNumberFormat="1" applyFont="1" applyAlignment="1">
      <alignment horizontal="center"/>
    </xf>
    <xf numFmtId="8" fontId="8" fillId="0" borderId="0" xfId="0" applyNumberFormat="1" applyFont="1"/>
    <xf numFmtId="0" fontId="8" fillId="0" borderId="0" xfId="0" applyFont="1"/>
    <xf numFmtId="10" fontId="4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5" fontId="9" fillId="0" borderId="2" xfId="0" applyNumberFormat="1" applyFont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164" fontId="10" fillId="0" borderId="0" xfId="8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9" fillId="0" borderId="6" xfId="8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42" fontId="10" fillId="0" borderId="0" xfId="8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right"/>
    </xf>
    <xf numFmtId="42" fontId="10" fillId="0" borderId="0" xfId="8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42" fontId="10" fillId="0" borderId="9" xfId="8" applyNumberFormat="1" applyFont="1" applyBorder="1" applyAlignment="1">
      <alignment horizontal="center"/>
    </xf>
    <xf numFmtId="164" fontId="10" fillId="0" borderId="0" xfId="8" applyNumberFormat="1" applyFont="1" applyAlignment="1">
      <alignment horizontal="center"/>
    </xf>
    <xf numFmtId="164" fontId="10" fillId="0" borderId="2" xfId="8" applyNumberFormat="1" applyFont="1" applyBorder="1" applyAlignment="1">
      <alignment horizontal="center"/>
    </xf>
    <xf numFmtId="164" fontId="9" fillId="0" borderId="2" xfId="23" applyNumberFormat="1" applyFont="1" applyBorder="1" applyAlignment="1">
      <alignment horizontal="right"/>
    </xf>
    <xf numFmtId="5" fontId="10" fillId="0" borderId="2" xfId="0" applyNumberFormat="1" applyFont="1" applyBorder="1" applyAlignment="1">
      <alignment horizontal="center"/>
    </xf>
    <xf numFmtId="164" fontId="9" fillId="0" borderId="0" xfId="23" applyNumberFormat="1" applyFont="1" applyBorder="1" applyAlignment="1">
      <alignment horizontal="right"/>
    </xf>
    <xf numFmtId="5" fontId="10" fillId="0" borderId="0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5" fontId="9" fillId="0" borderId="6" xfId="0" applyNumberFormat="1" applyFont="1" applyBorder="1" applyAlignment="1">
      <alignment horizontal="center"/>
    </xf>
    <xf numFmtId="7" fontId="10" fillId="0" borderId="0" xfId="0" applyNumberFormat="1" applyFont="1" applyBorder="1" applyAlignment="1">
      <alignment horizontal="center"/>
    </xf>
    <xf numFmtId="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4" fontId="10" fillId="0" borderId="0" xfId="8" applyNumberFormat="1" applyFont="1" applyAlignment="1">
      <alignment horizontal="center"/>
    </xf>
    <xf numFmtId="0" fontId="4" fillId="0" borderId="0" xfId="0" applyNumberFormat="1" applyFont="1" applyAlignment="1" applyProtection="1">
      <alignment horizontal="left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42" fontId="12" fillId="0" borderId="0" xfId="8" applyNumberFormat="1" applyFont="1" applyAlignment="1">
      <alignment horizontal="center"/>
    </xf>
    <xf numFmtId="43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4" fontId="13" fillId="0" borderId="0" xfId="0" applyNumberFormat="1" applyFont="1"/>
    <xf numFmtId="171" fontId="4" fillId="0" borderId="2" xfId="23" applyNumberFormat="1" applyFont="1" applyBorder="1" applyAlignment="1">
      <alignment horizontal="center"/>
    </xf>
    <xf numFmtId="171" fontId="4" fillId="0" borderId="0" xfId="23" applyNumberFormat="1" applyFont="1" applyBorder="1" applyAlignment="1">
      <alignment horizontal="center"/>
    </xf>
    <xf numFmtId="171" fontId="5" fillId="0" borderId="0" xfId="23" applyNumberFormat="1" applyFont="1" applyBorder="1" applyAlignment="1">
      <alignment horizontal="center"/>
    </xf>
    <xf numFmtId="171" fontId="4" fillId="0" borderId="0" xfId="0" applyNumberFormat="1" applyFont="1"/>
    <xf numFmtId="0" fontId="4" fillId="0" borderId="0" xfId="0" applyFont="1" applyBorder="1" applyAlignme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 applyBorder="1"/>
    <xf numFmtId="6" fontId="14" fillId="0" borderId="0" xfId="0" applyNumberFormat="1" applyFont="1"/>
    <xf numFmtId="14" fontId="10" fillId="0" borderId="0" xfId="0" applyNumberFormat="1" applyFont="1" applyBorder="1" applyAlignment="1">
      <alignment horizontal="right"/>
    </xf>
    <xf numFmtId="0" fontId="4" fillId="0" borderId="0" xfId="0" applyFont="1" applyAlignment="1"/>
    <xf numFmtId="10" fontId="4" fillId="0" borderId="0" xfId="48" applyNumberFormat="1" applyFont="1" applyBorder="1" applyAlignment="1">
      <alignment horizontal="center"/>
    </xf>
    <xf numFmtId="0" fontId="4" fillId="0" borderId="0" xfId="0" applyFont="1" applyBorder="1" applyAlignment="1">
      <alignment horizontal="left" readingOrder="1"/>
    </xf>
    <xf numFmtId="167" fontId="4" fillId="0" borderId="0" xfId="0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right"/>
    </xf>
    <xf numFmtId="166" fontId="5" fillId="0" borderId="6" xfId="8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 applyAlignment="1"/>
    <xf numFmtId="167" fontId="5" fillId="0" borderId="0" xfId="0" applyNumberFormat="1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right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42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9" fillId="0" borderId="0" xfId="0" applyNumberFormat="1" applyFont="1" applyAlignment="1" applyProtection="1">
      <alignment horizontal="left"/>
    </xf>
    <xf numFmtId="42" fontId="5" fillId="0" borderId="0" xfId="0" applyNumberFormat="1" applyFont="1" applyBorder="1"/>
    <xf numFmtId="0" fontId="9" fillId="0" borderId="0" xfId="0" applyNumberFormat="1" applyFont="1" applyAlignment="1" applyProtection="1">
      <alignment horizontal="center"/>
    </xf>
    <xf numFmtId="165" fontId="4" fillId="0" borderId="0" xfId="8" applyFont="1" applyAlignment="1">
      <alignment horizontal="left"/>
    </xf>
    <xf numFmtId="0" fontId="4" fillId="0" borderId="0" xfId="0" applyFont="1" applyBorder="1" applyAlignment="1">
      <alignment horizontal="right"/>
    </xf>
    <xf numFmtId="42" fontId="4" fillId="0" borderId="2" xfId="8" applyNumberFormat="1" applyFont="1" applyBorder="1" applyAlignment="1">
      <alignment horizontal="left"/>
    </xf>
    <xf numFmtId="174" fontId="4" fillId="0" borderId="0" xfId="8" applyNumberFormat="1" applyFont="1" applyAlignment="1">
      <alignment horizontal="center"/>
    </xf>
    <xf numFmtId="175" fontId="4" fillId="0" borderId="0" xfId="8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4" fillId="0" borderId="6" xfId="8" applyNumberFormat="1" applyFont="1" applyBorder="1" applyAlignment="1">
      <alignment horizontal="center"/>
    </xf>
    <xf numFmtId="0" fontId="4" fillId="0" borderId="2" xfId="0" applyFont="1" applyBorder="1" applyAlignment="1"/>
    <xf numFmtId="166" fontId="4" fillId="0" borderId="2" xfId="8" applyNumberFormat="1" applyFont="1" applyBorder="1" applyAlignment="1">
      <alignment horizontal="left"/>
    </xf>
    <xf numFmtId="166" fontId="4" fillId="0" borderId="0" xfId="8" applyNumberFormat="1" applyFont="1" applyBorder="1" applyAlignment="1">
      <alignment horizontal="left"/>
    </xf>
    <xf numFmtId="1" fontId="4" fillId="0" borderId="0" xfId="8" applyNumberFormat="1" applyFont="1" applyBorder="1" applyAlignment="1">
      <alignment horizontal="center"/>
    </xf>
    <xf numFmtId="5" fontId="4" fillId="0" borderId="6" xfId="0" applyNumberFormat="1" applyFont="1" applyBorder="1" applyAlignment="1">
      <alignment horizontal="center"/>
    </xf>
    <xf numFmtId="0" fontId="16" fillId="0" borderId="0" xfId="0" applyFont="1"/>
    <xf numFmtId="172" fontId="4" fillId="0" borderId="0" xfId="0" applyNumberFormat="1" applyFont="1" applyBorder="1" applyAlignment="1">
      <alignment horizontal="center"/>
    </xf>
    <xf numFmtId="3" fontId="17" fillId="0" borderId="0" xfId="0" applyNumberFormat="1" applyFont="1"/>
    <xf numFmtId="5" fontId="4" fillId="0" borderId="0" xfId="0" applyNumberFormat="1" applyFont="1"/>
    <xf numFmtId="10" fontId="5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14" fontId="4" fillId="0" borderId="0" xfId="0" applyNumberFormat="1" applyFont="1" applyBorder="1"/>
    <xf numFmtId="164" fontId="4" fillId="0" borderId="13" xfId="8" applyNumberFormat="1" applyFont="1" applyBorder="1" applyAlignment="1">
      <alignment horizontal="center"/>
    </xf>
    <xf numFmtId="0" fontId="10" fillId="0" borderId="0" xfId="0" applyNumberFormat="1" applyFont="1" applyAlignment="1" applyProtection="1">
      <alignment horizontal="left"/>
    </xf>
    <xf numFmtId="0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166" fontId="4" fillId="0" borderId="0" xfId="0" applyNumberFormat="1" applyFont="1"/>
    <xf numFmtId="164" fontId="10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70" fontId="4" fillId="0" borderId="0" xfId="48" applyNumberFormat="1" applyFont="1"/>
    <xf numFmtId="42" fontId="5" fillId="0" borderId="9" xfId="8" applyNumberFormat="1" applyFont="1" applyBorder="1" applyAlignment="1">
      <alignment horizontal="center"/>
    </xf>
    <xf numFmtId="5" fontId="4" fillId="0" borderId="2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5" fontId="4" fillId="0" borderId="6" xfId="8" applyFont="1" applyBorder="1" applyAlignment="1">
      <alignment horizontal="right"/>
    </xf>
    <xf numFmtId="164" fontId="4" fillId="0" borderId="6" xfId="8" applyNumberFormat="1" applyFont="1" applyBorder="1" applyAlignment="1">
      <alignment horizontal="center"/>
    </xf>
    <xf numFmtId="44" fontId="5" fillId="0" borderId="0" xfId="0" applyNumberFormat="1" applyFont="1" applyBorder="1"/>
    <xf numFmtId="165" fontId="4" fillId="0" borderId="2" xfId="8" applyNumberFormat="1" applyFont="1" applyBorder="1" applyAlignment="1">
      <alignment horizontal="center"/>
    </xf>
    <xf numFmtId="165" fontId="5" fillId="0" borderId="0" xfId="8" applyNumberFormat="1" applyFont="1" applyBorder="1" applyAlignment="1">
      <alignment horizontal="center"/>
    </xf>
    <xf numFmtId="165" fontId="4" fillId="0" borderId="0" xfId="8" applyNumberFormat="1" applyFont="1" applyBorder="1" applyAlignment="1">
      <alignment horizontal="center"/>
    </xf>
    <xf numFmtId="165" fontId="5" fillId="0" borderId="6" xfId="8" applyNumberFormat="1" applyFont="1" applyBorder="1" applyAlignment="1">
      <alignment horizontal="center"/>
    </xf>
    <xf numFmtId="165" fontId="4" fillId="0" borderId="0" xfId="8" applyNumberFormat="1" applyFont="1" applyAlignment="1">
      <alignment horizontal="center"/>
    </xf>
    <xf numFmtId="165" fontId="5" fillId="0" borderId="0" xfId="8" applyNumberFormat="1" applyFont="1" applyAlignment="1">
      <alignment horizontal="center"/>
    </xf>
    <xf numFmtId="165" fontId="4" fillId="0" borderId="0" xfId="8" applyNumberFormat="1" applyFont="1" applyAlignment="1"/>
    <xf numFmtId="14" fontId="4" fillId="0" borderId="0" xfId="8" applyNumberFormat="1" applyFont="1" applyAlignment="1">
      <alignment horizontal="center"/>
    </xf>
    <xf numFmtId="170" fontId="4" fillId="0" borderId="0" xfId="48" applyNumberFormat="1" applyFont="1" applyAlignment="1">
      <alignment horizontal="center"/>
    </xf>
    <xf numFmtId="170" fontId="10" fillId="0" borderId="0" xfId="48" applyNumberFormat="1" applyFont="1" applyAlignment="1">
      <alignment horizontal="center"/>
    </xf>
    <xf numFmtId="14" fontId="5" fillId="0" borderId="0" xfId="8" applyNumberFormat="1" applyFont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readingOrder="1"/>
    </xf>
    <xf numFmtId="42" fontId="12" fillId="0" borderId="0" xfId="8" applyNumberFormat="1" applyFont="1" applyBorder="1" applyAlignment="1">
      <alignment horizontal="center"/>
    </xf>
    <xf numFmtId="14" fontId="18" fillId="0" borderId="0" xfId="0" applyNumberFormat="1" applyFont="1" applyAlignment="1">
      <alignment horizontal="center"/>
    </xf>
    <xf numFmtId="168" fontId="12" fillId="0" borderId="0" xfId="0" applyNumberFormat="1" applyFont="1" applyBorder="1" applyAlignment="1">
      <alignment horizontal="right"/>
    </xf>
    <xf numFmtId="164" fontId="12" fillId="0" borderId="0" xfId="8" applyNumberFormat="1" applyFont="1" applyAlignment="1">
      <alignment horizontal="right"/>
    </xf>
    <xf numFmtId="164" fontId="5" fillId="0" borderId="0" xfId="0" applyNumberFormat="1" applyFont="1" applyAlignment="1" applyProtection="1">
      <alignment horizontal="left"/>
    </xf>
    <xf numFmtId="5" fontId="4" fillId="0" borderId="0" xfId="0" applyNumberFormat="1" applyFont="1" applyBorder="1" applyAlignment="1">
      <alignment horizontal="left"/>
    </xf>
    <xf numFmtId="42" fontId="4" fillId="0" borderId="0" xfId="0" applyNumberFormat="1" applyFont="1" applyFill="1" applyBorder="1" applyAlignment="1">
      <alignment horizontal="center"/>
    </xf>
    <xf numFmtId="6" fontId="4" fillId="0" borderId="0" xfId="8" applyNumberFormat="1" applyFont="1"/>
    <xf numFmtId="42" fontId="4" fillId="0" borderId="0" xfId="0" applyNumberFormat="1" applyFont="1" applyFill="1" applyBorder="1" applyAlignment="1">
      <alignment horizontal="right"/>
    </xf>
    <xf numFmtId="164" fontId="4" fillId="0" borderId="0" xfId="48" applyNumberFormat="1" applyFont="1" applyAlignment="1">
      <alignment horizontal="center"/>
    </xf>
    <xf numFmtId="166" fontId="5" fillId="0" borderId="9" xfId="0" applyNumberFormat="1" applyFont="1" applyBorder="1"/>
    <xf numFmtId="44" fontId="4" fillId="0" borderId="0" xfId="0" applyNumberFormat="1" applyFont="1" applyFill="1" applyBorder="1"/>
    <xf numFmtId="166" fontId="4" fillId="0" borderId="0" xfId="8" applyNumberFormat="1" applyFont="1" applyFill="1"/>
    <xf numFmtId="0" fontId="4" fillId="0" borderId="0" xfId="0" applyFont="1" applyFill="1"/>
    <xf numFmtId="171" fontId="4" fillId="0" borderId="0" xfId="0" applyNumberFormat="1" applyFont="1" applyFill="1"/>
    <xf numFmtId="165" fontId="4" fillId="0" borderId="0" xfId="8" applyNumberFormat="1" applyFont="1" applyFill="1"/>
    <xf numFmtId="164" fontId="5" fillId="0" borderId="15" xfId="8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164" fontId="4" fillId="0" borderId="0" xfId="0" applyNumberFormat="1" applyFont="1" applyFill="1"/>
    <xf numFmtId="164" fontId="4" fillId="0" borderId="0" xfId="8" applyNumberFormat="1" applyFont="1"/>
    <xf numFmtId="165" fontId="16" fillId="0" borderId="0" xfId="8" applyFont="1"/>
    <xf numFmtId="176" fontId="4" fillId="0" borderId="0" xfId="0" applyNumberFormat="1" applyFont="1"/>
    <xf numFmtId="166" fontId="5" fillId="0" borderId="2" xfId="8" applyNumberFormat="1" applyFont="1" applyBorder="1" applyAlignment="1">
      <alignment horizontal="center"/>
    </xf>
    <xf numFmtId="178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4" fontId="9" fillId="0" borderId="0" xfId="0" applyNumberFormat="1" applyFont="1" applyBorder="1" applyAlignment="1">
      <alignment horizontal="right"/>
    </xf>
    <xf numFmtId="42" fontId="9" fillId="0" borderId="0" xfId="8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164" fontId="4" fillId="0" borderId="13" xfId="0" applyNumberFormat="1" applyFont="1" applyBorder="1" applyAlignment="1">
      <alignment horizontal="center"/>
    </xf>
    <xf numFmtId="0" fontId="0" fillId="0" borderId="0" xfId="0" applyFont="1"/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5" fontId="11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5" fontId="11" fillId="0" borderId="6" xfId="0" applyNumberFormat="1" applyFont="1" applyBorder="1" applyAlignment="1">
      <alignment horizontal="center"/>
    </xf>
    <xf numFmtId="5" fontId="11" fillId="0" borderId="6" xfId="0" applyNumberFormat="1" applyFont="1" applyBorder="1" applyAlignment="1">
      <alignment horizontal="left"/>
    </xf>
    <xf numFmtId="5" fontId="11" fillId="0" borderId="0" xfId="0" applyNumberFormat="1" applyFont="1" applyBorder="1" applyAlignment="1">
      <alignment horizontal="left"/>
    </xf>
    <xf numFmtId="0" fontId="22" fillId="0" borderId="1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42" fontId="12" fillId="0" borderId="2" xfId="0" applyNumberFormat="1" applyFont="1" applyBorder="1"/>
    <xf numFmtId="14" fontId="4" fillId="0" borderId="0" xfId="0" applyNumberFormat="1" applyFont="1" applyBorder="1" applyAlignment="1">
      <alignment horizontal="right"/>
    </xf>
    <xf numFmtId="0" fontId="5" fillId="0" borderId="16" xfId="0" applyFont="1" applyBorder="1"/>
    <xf numFmtId="166" fontId="11" fillId="0" borderId="2" xfId="8" applyNumberFormat="1" applyFont="1" applyBorder="1"/>
    <xf numFmtId="169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right"/>
    </xf>
    <xf numFmtId="42" fontId="4" fillId="0" borderId="0" xfId="8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/>
    <xf numFmtId="0" fontId="5" fillId="0" borderId="4" xfId="0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6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/>
    <xf numFmtId="42" fontId="4" fillId="0" borderId="0" xfId="0" applyNumberFormat="1" applyFont="1" applyFill="1" applyBorder="1"/>
    <xf numFmtId="42" fontId="4" fillId="0" borderId="0" xfId="8" applyNumberFormat="1" applyFont="1" applyBorder="1"/>
    <xf numFmtId="6" fontId="4" fillId="0" borderId="0" xfId="0" applyNumberFormat="1" applyFont="1" applyFill="1" applyBorder="1" applyAlignment="1">
      <alignment horizontal="right"/>
    </xf>
    <xf numFmtId="6" fontId="5" fillId="0" borderId="0" xfId="0" applyNumberFormat="1" applyFont="1" applyFill="1" applyBorder="1"/>
    <xf numFmtId="0" fontId="4" fillId="0" borderId="0" xfId="0" applyNumberFormat="1" applyFont="1"/>
    <xf numFmtId="177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42" fontId="5" fillId="0" borderId="0" xfId="8" applyNumberFormat="1" applyFont="1"/>
    <xf numFmtId="164" fontId="19" fillId="0" borderId="0" xfId="0" applyNumberFormat="1" applyFont="1"/>
    <xf numFmtId="0" fontId="5" fillId="0" borderId="16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42" fontId="4" fillId="0" borderId="0" xfId="8" applyNumberFormat="1" applyFont="1"/>
    <xf numFmtId="0" fontId="12" fillId="0" borderId="0" xfId="0" applyFont="1" applyFill="1" applyBorder="1" applyAlignment="1">
      <alignment horizontal="center"/>
    </xf>
    <xf numFmtId="178" fontId="4" fillId="0" borderId="0" xfId="1" applyNumberFormat="1" applyFont="1"/>
    <xf numFmtId="0" fontId="5" fillId="0" borderId="4" xfId="0" applyFont="1" applyFill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17" fillId="0" borderId="0" xfId="0" applyNumberFormat="1" applyFont="1"/>
    <xf numFmtId="164" fontId="5" fillId="0" borderId="8" xfId="0" applyNumberFormat="1" applyFont="1" applyBorder="1" applyAlignment="1">
      <alignment horizontal="center"/>
    </xf>
    <xf numFmtId="42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166" fontId="12" fillId="0" borderId="2" xfId="8" applyNumberFormat="1" applyFont="1" applyBorder="1" applyAlignment="1">
      <alignment horizontal="right"/>
    </xf>
    <xf numFmtId="42" fontId="11" fillId="0" borderId="0" xfId="8" applyNumberFormat="1" applyFont="1" applyBorder="1" applyAlignment="1">
      <alignment horizontal="right"/>
    </xf>
    <xf numFmtId="14" fontId="11" fillId="0" borderId="0" xfId="0" applyNumberFormat="1" applyFont="1" applyBorder="1" applyAlignment="1">
      <alignment horizontal="right"/>
    </xf>
    <xf numFmtId="166" fontId="11" fillId="0" borderId="0" xfId="8" applyNumberFormat="1" applyFont="1" applyBorder="1" applyAlignment="1">
      <alignment horizontal="right"/>
    </xf>
    <xf numFmtId="42" fontId="11" fillId="0" borderId="0" xfId="0" applyNumberFormat="1" applyFont="1" applyBorder="1" applyAlignment="1">
      <alignment horizontal="right"/>
    </xf>
    <xf numFmtId="42" fontId="11" fillId="0" borderId="6" xfId="8" applyNumberFormat="1" applyFont="1" applyBorder="1" applyAlignment="1">
      <alignment horizontal="right"/>
    </xf>
    <xf numFmtId="14" fontId="11" fillId="0" borderId="6" xfId="0" applyNumberFormat="1" applyFont="1" applyBorder="1" applyAlignment="1">
      <alignment horizontal="right"/>
    </xf>
    <xf numFmtId="166" fontId="11" fillId="0" borderId="6" xfId="8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42" fontId="0" fillId="0" borderId="0" xfId="8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1" fontId="11" fillId="0" borderId="6" xfId="8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42" fontId="4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4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2" fontId="5" fillId="0" borderId="9" xfId="0" applyNumberFormat="1" applyFont="1" applyBorder="1" applyAlignment="1">
      <alignment horizontal="right"/>
    </xf>
    <xf numFmtId="0" fontId="1" fillId="0" borderId="0" xfId="0" applyFont="1"/>
    <xf numFmtId="0" fontId="5" fillId="0" borderId="0" xfId="0" applyFont="1" applyFill="1" applyBorder="1" applyAlignment="1">
      <alignment horizontal="right"/>
    </xf>
    <xf numFmtId="164" fontId="4" fillId="0" borderId="0" xfId="19" applyNumberFormat="1" applyFont="1" applyBorder="1" applyAlignment="1">
      <alignment horizontal="center"/>
    </xf>
    <xf numFmtId="43" fontId="4" fillId="0" borderId="0" xfId="1" applyFont="1"/>
    <xf numFmtId="0" fontId="4" fillId="0" borderId="4" xfId="0" applyFont="1" applyFill="1" applyBorder="1" applyAlignment="1">
      <alignment horizontal="center"/>
    </xf>
    <xf numFmtId="42" fontId="4" fillId="0" borderId="0" xfId="1" applyNumberFormat="1" applyFont="1"/>
    <xf numFmtId="0" fontId="4" fillId="0" borderId="0" xfId="0" applyFont="1" applyFill="1" applyBorder="1" applyAlignment="1">
      <alignment horizontal="center"/>
    </xf>
    <xf numFmtId="42" fontId="5" fillId="0" borderId="0" xfId="0" applyNumberFormat="1" applyFont="1" applyAlignment="1">
      <alignment horizontal="right"/>
    </xf>
    <xf numFmtId="0" fontId="12" fillId="0" borderId="3" xfId="0" applyFont="1" applyBorder="1" applyAlignment="1"/>
    <xf numFmtId="14" fontId="11" fillId="0" borderId="5" xfId="0" applyNumberFormat="1" applyFont="1" applyBorder="1" applyAlignment="1"/>
    <xf numFmtId="14" fontId="11" fillId="0" borderId="8" xfId="0" applyNumberFormat="1" applyFont="1" applyBorder="1" applyAlignment="1"/>
    <xf numFmtId="0" fontId="4" fillId="0" borderId="3" xfId="0" applyFont="1" applyBorder="1" applyAlignment="1"/>
    <xf numFmtId="14" fontId="4" fillId="0" borderId="0" xfId="0" applyNumberFormat="1" applyFont="1" applyAlignment="1"/>
    <xf numFmtId="14" fontId="4" fillId="0" borderId="0" xfId="0" applyNumberFormat="1" applyFont="1" applyFill="1" applyBorder="1" applyAlignment="1"/>
    <xf numFmtId="14" fontId="4" fillId="0" borderId="0" xfId="0" applyNumberFormat="1" applyFont="1" applyBorder="1" applyAlignment="1"/>
    <xf numFmtId="0" fontId="0" fillId="0" borderId="0" xfId="0" applyAlignment="1"/>
    <xf numFmtId="164" fontId="4" fillId="0" borderId="0" xfId="23" applyNumberFormat="1" applyFont="1" applyBorder="1" applyAlignment="1">
      <alignment horizontal="right"/>
    </xf>
    <xf numFmtId="164" fontId="4" fillId="0" borderId="0" xfId="0" applyNumberFormat="1" applyFont="1" applyAlignment="1"/>
    <xf numFmtId="178" fontId="4" fillId="0" borderId="0" xfId="1" applyNumberFormat="1" applyFont="1" applyBorder="1" applyAlignment="1">
      <alignment horizontal="right"/>
    </xf>
    <xf numFmtId="14" fontId="5" fillId="0" borderId="0" xfId="0" applyNumberFormat="1" applyFont="1" applyBorder="1" applyAlignment="1"/>
    <xf numFmtId="42" fontId="5" fillId="0" borderId="0" xfId="1" applyNumberFormat="1" applyFont="1"/>
    <xf numFmtId="166" fontId="5" fillId="0" borderId="0" xfId="8" applyNumberFormat="1" applyFont="1" applyBorder="1"/>
    <xf numFmtId="181" fontId="4" fillId="0" borderId="0" xfId="0" applyNumberFormat="1" applyFont="1" applyAlignment="1">
      <alignment horizontal="center"/>
    </xf>
    <xf numFmtId="164" fontId="5" fillId="0" borderId="0" xfId="1" applyNumberFormat="1" applyFont="1"/>
    <xf numFmtId="178" fontId="4" fillId="0" borderId="0" xfId="1" applyNumberFormat="1" applyFont="1" applyBorder="1"/>
    <xf numFmtId="166" fontId="4" fillId="0" borderId="0" xfId="48" applyNumberFormat="1" applyFont="1"/>
    <xf numFmtId="178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6" fontId="5" fillId="0" borderId="0" xfId="8" applyNumberFormat="1" applyFont="1"/>
    <xf numFmtId="164" fontId="4" fillId="0" borderId="0" xfId="48" applyNumberFormat="1" applyFont="1"/>
    <xf numFmtId="0" fontId="5" fillId="0" borderId="11" xfId="0" applyFont="1" applyBorder="1"/>
    <xf numFmtId="164" fontId="5" fillId="0" borderId="9" xfId="1" applyNumberFormat="1" applyFont="1" applyBorder="1"/>
    <xf numFmtId="43" fontId="0" fillId="0" borderId="0" xfId="1" applyFont="1"/>
    <xf numFmtId="43" fontId="0" fillId="0" borderId="0" xfId="0" applyNumberFormat="1"/>
    <xf numFmtId="164" fontId="5" fillId="0" borderId="0" xfId="0" applyNumberFormat="1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/>
    <xf numFmtId="0" fontId="15" fillId="0" borderId="0" xfId="0" applyFont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64" fontId="5" fillId="0" borderId="9" xfId="8" applyNumberFormat="1" applyFont="1" applyBorder="1" applyAlignment="1">
      <alignment horizontal="center"/>
    </xf>
    <xf numFmtId="42" fontId="9" fillId="0" borderId="9" xfId="8" applyNumberFormat="1" applyFont="1" applyBorder="1" applyAlignment="1">
      <alignment horizontal="center"/>
    </xf>
    <xf numFmtId="5" fontId="5" fillId="0" borderId="9" xfId="0" applyNumberFormat="1" applyFont="1" applyBorder="1"/>
    <xf numFmtId="42" fontId="4" fillId="0" borderId="0" xfId="19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4" fontId="0" fillId="0" borderId="0" xfId="0" applyNumberFormat="1" applyFont="1"/>
    <xf numFmtId="2" fontId="6" fillId="0" borderId="0" xfId="0" applyNumberFormat="1" applyFont="1" applyAlignment="1">
      <alignment horizontal="center"/>
    </xf>
    <xf numFmtId="44" fontId="5" fillId="0" borderId="0" xfId="8" applyNumberFormat="1" applyFont="1" applyAlignment="1">
      <alignment horizontal="right"/>
    </xf>
    <xf numFmtId="0" fontId="26" fillId="0" borderId="0" xfId="0" applyFont="1"/>
    <xf numFmtId="178" fontId="4" fillId="0" borderId="0" xfId="1" applyNumberFormat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9" fontId="5" fillId="0" borderId="2" xfId="48" applyFont="1" applyBorder="1" applyAlignment="1">
      <alignment horizontal="center"/>
    </xf>
    <xf numFmtId="178" fontId="0" fillId="0" borderId="0" xfId="1" applyNumberFormat="1" applyFont="1"/>
    <xf numFmtId="178" fontId="0" fillId="0" borderId="0" xfId="0" applyNumberFormat="1"/>
    <xf numFmtId="43" fontId="4" fillId="0" borderId="0" xfId="0" applyNumberFormat="1" applyFont="1"/>
    <xf numFmtId="178" fontId="4" fillId="0" borderId="0" xfId="1" applyNumberFormat="1" applyFont="1" applyAlignment="1">
      <alignment horizontal="right"/>
    </xf>
    <xf numFmtId="44" fontId="0" fillId="0" borderId="0" xfId="0" applyNumberFormat="1" applyAlignment="1"/>
    <xf numFmtId="172" fontId="4" fillId="0" borderId="0" xfId="0" applyNumberFormat="1" applyFont="1" applyFill="1"/>
    <xf numFmtId="165" fontId="6" fillId="0" borderId="0" xfId="8" applyFont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44" fontId="5" fillId="0" borderId="0" xfId="23" applyNumberFormat="1" applyFont="1" applyBorder="1" applyAlignment="1">
      <alignment horizontal="center"/>
    </xf>
    <xf numFmtId="166" fontId="4" fillId="0" borderId="9" xfId="8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82" fontId="4" fillId="0" borderId="0" xfId="0" applyNumberFormat="1" applyFont="1"/>
    <xf numFmtId="14" fontId="4" fillId="0" borderId="0" xfId="8" applyNumberFormat="1" applyFont="1"/>
    <xf numFmtId="43" fontId="7" fillId="0" borderId="0" xfId="1" applyFont="1" applyBorder="1"/>
    <xf numFmtId="44" fontId="4" fillId="0" borderId="0" xfId="48" applyNumberFormat="1" applyFont="1"/>
    <xf numFmtId="4" fontId="7" fillId="0" borderId="0" xfId="0" applyNumberFormat="1" applyFont="1"/>
    <xf numFmtId="44" fontId="5" fillId="0" borderId="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44" fontId="4" fillId="0" borderId="0" xfId="8" applyNumberFormat="1" applyFont="1"/>
    <xf numFmtId="173" fontId="5" fillId="0" borderId="0" xfId="48" applyNumberFormat="1" applyFont="1" applyAlignment="1">
      <alignment horizontal="center"/>
    </xf>
    <xf numFmtId="183" fontId="5" fillId="0" borderId="0" xfId="48" applyNumberFormat="1" applyFont="1" applyAlignment="1">
      <alignment horizontal="center"/>
    </xf>
    <xf numFmtId="173" fontId="4" fillId="0" borderId="0" xfId="48" applyNumberFormat="1" applyFont="1" applyAlignment="1">
      <alignment horizontal="center"/>
    </xf>
    <xf numFmtId="183" fontId="4" fillId="0" borderId="0" xfId="48" applyNumberFormat="1" applyFont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6" fontId="4" fillId="0" borderId="9" xfId="8" applyNumberFormat="1" applyFont="1" applyBorder="1" applyAlignment="1">
      <alignment horizontal="center"/>
    </xf>
    <xf numFmtId="0" fontId="27" fillId="0" borderId="0" xfId="0" applyFont="1" applyAlignment="1">
      <alignment horizontal="left"/>
    </xf>
    <xf numFmtId="166" fontId="4" fillId="0" borderId="0" xfId="23" applyNumberFormat="1" applyFont="1" applyBorder="1" applyAlignment="1">
      <alignment horizontal="right"/>
    </xf>
    <xf numFmtId="166" fontId="4" fillId="0" borderId="0" xfId="19" applyNumberFormat="1" applyFont="1" applyBorder="1" applyAlignment="1">
      <alignment horizontal="right"/>
    </xf>
    <xf numFmtId="178" fontId="23" fillId="0" borderId="0" xfId="1" applyNumberFormat="1" applyFont="1" applyBorder="1" applyAlignment="1">
      <alignment horizontal="center"/>
    </xf>
    <xf numFmtId="166" fontId="4" fillId="0" borderId="0" xfId="19" applyNumberFormat="1" applyFont="1"/>
    <xf numFmtId="5" fontId="4" fillId="0" borderId="2" xfId="0" applyNumberFormat="1" applyFont="1" applyBorder="1" applyAlignment="1">
      <alignment horizontal="right"/>
    </xf>
    <xf numFmtId="178" fontId="4" fillId="0" borderId="0" xfId="1" applyNumberFormat="1" applyFont="1" applyAlignment="1"/>
    <xf numFmtId="166" fontId="4" fillId="0" borderId="0" xfId="1" applyNumberFormat="1" applyFont="1"/>
    <xf numFmtId="164" fontId="5" fillId="0" borderId="0" xfId="8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4" fontId="5" fillId="0" borderId="6" xfId="0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9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6" fontId="5" fillId="0" borderId="0" xfId="0" applyNumberFormat="1" applyFont="1" applyBorder="1" applyAlignment="1">
      <alignment horizontal="right"/>
    </xf>
    <xf numFmtId="169" fontId="5" fillId="0" borderId="0" xfId="0" applyNumberFormat="1" applyFont="1" applyBorder="1" applyAlignment="1">
      <alignment horizontal="right"/>
    </xf>
    <xf numFmtId="44" fontId="5" fillId="0" borderId="0" xfId="0" applyNumberFormat="1" applyFont="1" applyBorder="1" applyAlignment="1">
      <alignment horizontal="right"/>
    </xf>
    <xf numFmtId="42" fontId="4" fillId="0" borderId="0" xfId="0" applyNumberFormat="1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70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5" fillId="0" borderId="6" xfId="0" applyFont="1" applyBorder="1" applyAlignment="1">
      <alignment horizontal="right"/>
    </xf>
    <xf numFmtId="42" fontId="4" fillId="0" borderId="6" xfId="8" applyNumberFormat="1" applyFont="1" applyBorder="1"/>
    <xf numFmtId="42" fontId="4" fillId="0" borderId="8" xfId="8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6" fontId="4" fillId="0" borderId="0" xfId="0" applyNumberFormat="1" applyFont="1" applyBorder="1"/>
    <xf numFmtId="6" fontId="5" fillId="0" borderId="0" xfId="0" applyNumberFormat="1" applyFont="1" applyBorder="1"/>
    <xf numFmtId="0" fontId="4" fillId="0" borderId="4" xfId="0" applyFont="1" applyBorder="1"/>
    <xf numFmtId="169" fontId="4" fillId="0" borderId="0" xfId="0" applyNumberFormat="1" applyFont="1" applyBorder="1"/>
    <xf numFmtId="42" fontId="23" fillId="0" borderId="0" xfId="8" applyNumberFormat="1" applyFont="1" applyBorder="1"/>
    <xf numFmtId="166" fontId="4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8" fillId="0" borderId="0" xfId="0" applyNumberFormat="1" applyFont="1"/>
    <xf numFmtId="169" fontId="4" fillId="0" borderId="0" xfId="0" applyNumberFormat="1" applyFont="1"/>
    <xf numFmtId="42" fontId="4" fillId="0" borderId="0" xfId="48" applyNumberFormat="1" applyFont="1"/>
    <xf numFmtId="0" fontId="24" fillId="0" borderId="0" xfId="0" applyFont="1"/>
    <xf numFmtId="42" fontId="4" fillId="0" borderId="9" xfId="48" applyNumberFormat="1" applyFont="1" applyBorder="1"/>
    <xf numFmtId="170" fontId="4" fillId="0" borderId="9" xfId="48" applyNumberFormat="1" applyFont="1" applyBorder="1"/>
    <xf numFmtId="8" fontId="24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0" fontId="1" fillId="0" borderId="0" xfId="0" applyFont="1" applyAlignment="1">
      <alignment horizontal="right"/>
    </xf>
    <xf numFmtId="166" fontId="5" fillId="0" borderId="2" xfId="8" applyNumberFormat="1" applyFont="1" applyBorder="1" applyAlignment="1">
      <alignment horizontal="right"/>
    </xf>
    <xf numFmtId="5" fontId="4" fillId="0" borderId="0" xfId="0" applyNumberFormat="1" applyFont="1" applyBorder="1" applyAlignment="1"/>
    <xf numFmtId="178" fontId="4" fillId="0" borderId="0" xfId="1" applyNumberFormat="1" applyFont="1" applyAlignment="1">
      <alignment horizontal="left"/>
    </xf>
    <xf numFmtId="178" fontId="5" fillId="0" borderId="0" xfId="1" applyNumberFormat="1" applyFont="1" applyBorder="1" applyAlignment="1">
      <alignment horizontal="center"/>
    </xf>
    <xf numFmtId="164" fontId="4" fillId="0" borderId="0" xfId="1" applyNumberFormat="1" applyFont="1"/>
    <xf numFmtId="0" fontId="5" fillId="0" borderId="0" xfId="0" applyFont="1" applyFill="1" applyBorder="1" applyAlignment="1">
      <alignment horizontal="left"/>
    </xf>
    <xf numFmtId="178" fontId="4" fillId="0" borderId="0" xfId="0" applyNumberFormat="1" applyFont="1" applyAlignment="1">
      <alignment horizontal="center"/>
    </xf>
    <xf numFmtId="178" fontId="5" fillId="0" borderId="0" xfId="1" applyNumberFormat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5" fontId="23" fillId="0" borderId="0" xfId="0" applyNumberFormat="1" applyFont="1" applyBorder="1" applyAlignment="1">
      <alignment horizontal="left"/>
    </xf>
    <xf numFmtId="5" fontId="23" fillId="0" borderId="0" xfId="0" applyNumberFormat="1" applyFont="1" applyBorder="1" applyAlignment="1"/>
    <xf numFmtId="14" fontId="23" fillId="0" borderId="0" xfId="0" applyNumberFormat="1" applyFont="1"/>
    <xf numFmtId="42" fontId="23" fillId="0" borderId="0" xfId="8" applyNumberFormat="1" applyFont="1"/>
    <xf numFmtId="0" fontId="23" fillId="0" borderId="0" xfId="0" applyFont="1"/>
    <xf numFmtId="0" fontId="4" fillId="0" borderId="0" xfId="0" applyFont="1" applyFill="1" applyAlignment="1">
      <alignment horizontal="left"/>
    </xf>
    <xf numFmtId="178" fontId="4" fillId="0" borderId="0" xfId="1" applyNumberFormat="1" applyFont="1" applyFill="1"/>
    <xf numFmtId="14" fontId="4" fillId="0" borderId="0" xfId="8" applyNumberFormat="1" applyFont="1" applyBorder="1" applyAlignment="1">
      <alignment horizontal="center"/>
    </xf>
    <xf numFmtId="165" fontId="5" fillId="0" borderId="0" xfId="8" applyNumberFormat="1" applyFont="1" applyBorder="1"/>
    <xf numFmtId="164" fontId="5" fillId="0" borderId="0" xfId="0" applyNumberFormat="1" applyFont="1"/>
    <xf numFmtId="178" fontId="5" fillId="0" borderId="0" xfId="0" applyNumberFormat="1" applyFont="1"/>
    <xf numFmtId="43" fontId="5" fillId="0" borderId="0" xfId="1" applyFont="1" applyAlignment="1">
      <alignment horizontal="center"/>
    </xf>
    <xf numFmtId="14" fontId="23" fillId="0" borderId="0" xfId="0" applyNumberFormat="1" applyFont="1" applyBorder="1"/>
    <xf numFmtId="164" fontId="23" fillId="0" borderId="0" xfId="23" applyNumberFormat="1" applyFont="1" applyBorder="1" applyAlignment="1">
      <alignment horizontal="center"/>
    </xf>
    <xf numFmtId="14" fontId="4" fillId="0" borderId="0" xfId="23" applyNumberFormat="1" applyFont="1" applyBorder="1" applyAlignment="1">
      <alignment horizontal="center"/>
    </xf>
    <xf numFmtId="1" fontId="4" fillId="0" borderId="0" xfId="23" applyNumberFormat="1" applyFont="1" applyBorder="1" applyAlignment="1">
      <alignment horizontal="center"/>
    </xf>
    <xf numFmtId="178" fontId="26" fillId="0" borderId="0" xfId="1" applyNumberFormat="1" applyFont="1"/>
    <xf numFmtId="178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0" fontId="5" fillId="0" borderId="25" xfId="0" applyFont="1" applyFill="1" applyBorder="1" applyAlignment="1">
      <alignment horizontal="center"/>
    </xf>
    <xf numFmtId="169" fontId="4" fillId="0" borderId="0" xfId="19" applyNumberFormat="1" applyFont="1" applyBorder="1" applyAlignment="1">
      <alignment horizontal="right"/>
    </xf>
    <xf numFmtId="14" fontId="4" fillId="0" borderId="0" xfId="1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center"/>
    </xf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Font="1"/>
    <xf numFmtId="1" fontId="4" fillId="0" borderId="0" xfId="0" applyNumberFormat="1" applyFont="1" applyBorder="1" applyAlignment="1">
      <alignment horizontal="center"/>
    </xf>
    <xf numFmtId="1" fontId="4" fillId="0" borderId="0" xfId="8" applyNumberFormat="1" applyFont="1"/>
    <xf numFmtId="1" fontId="0" fillId="0" borderId="0" xfId="1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8" applyNumberFormat="1" applyFont="1" applyBorder="1" applyAlignment="1">
      <alignment horizontal="right"/>
    </xf>
    <xf numFmtId="1" fontId="23" fillId="0" borderId="0" xfId="0" applyNumberFormat="1" applyFont="1"/>
    <xf numFmtId="1" fontId="23" fillId="0" borderId="0" xfId="8" applyNumberFormat="1" applyFont="1"/>
    <xf numFmtId="0" fontId="4" fillId="0" borderId="0" xfId="0" applyNumberFormat="1" applyFont="1" applyAlignment="1">
      <alignment horizontal="right"/>
    </xf>
    <xf numFmtId="164" fontId="4" fillId="0" borderId="0" xfId="1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right"/>
    </xf>
    <xf numFmtId="164" fontId="0" fillId="0" borderId="12" xfId="0" applyNumberFormat="1" applyBorder="1"/>
    <xf numFmtId="164" fontId="5" fillId="0" borderId="0" xfId="0" applyNumberFormat="1" applyFont="1" applyFill="1" applyBorder="1" applyAlignment="1">
      <alignment horizontal="right"/>
    </xf>
    <xf numFmtId="14" fontId="4" fillId="0" borderId="0" xfId="1" applyNumberFormat="1" applyFont="1" applyAlignment="1">
      <alignment horizontal="center"/>
    </xf>
    <xf numFmtId="42" fontId="4" fillId="0" borderId="0" xfId="0" applyNumberFormat="1" applyFont="1" applyFill="1"/>
    <xf numFmtId="0" fontId="26" fillId="0" borderId="0" xfId="0" applyFont="1" applyAlignment="1">
      <alignment horizontal="left"/>
    </xf>
    <xf numFmtId="0" fontId="4" fillId="0" borderId="4" xfId="0" applyFont="1" applyFill="1" applyBorder="1" applyAlignment="1">
      <alignment horizontal="left"/>
    </xf>
    <xf numFmtId="184" fontId="4" fillId="0" borderId="0" xfId="0" applyNumberFormat="1" applyFont="1"/>
    <xf numFmtId="43" fontId="4" fillId="0" borderId="0" xfId="1" applyFont="1" applyBorder="1" applyAlignment="1">
      <alignment horizontal="center"/>
    </xf>
    <xf numFmtId="0" fontId="4" fillId="0" borderId="0" xfId="1" applyNumberFormat="1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16" fontId="5" fillId="0" borderId="1" xfId="0" applyNumberFormat="1" applyFont="1" applyBorder="1" applyAlignment="1">
      <alignment horizontal="left"/>
    </xf>
    <xf numFmtId="42" fontId="5" fillId="0" borderId="2" xfId="0" applyNumberFormat="1" applyFont="1" applyBorder="1" applyAlignment="1">
      <alignment horizontal="center"/>
    </xf>
    <xf numFmtId="178" fontId="4" fillId="0" borderId="2" xfId="1" applyNumberFormat="1" applyFont="1" applyBorder="1" applyAlignment="1">
      <alignment horizontal="center"/>
    </xf>
    <xf numFmtId="5" fontId="5" fillId="0" borderId="0" xfId="0" applyNumberFormat="1" applyFont="1" applyAlignment="1">
      <alignment horizontal="center"/>
    </xf>
    <xf numFmtId="178" fontId="5" fillId="0" borderId="6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4" fontId="4" fillId="0" borderId="13" xfId="0" applyNumberFormat="1" applyFont="1" applyBorder="1"/>
    <xf numFmtId="0" fontId="4" fillId="0" borderId="13" xfId="0" applyFont="1" applyBorder="1"/>
    <xf numFmtId="42" fontId="4" fillId="0" borderId="13" xfId="0" applyNumberFormat="1" applyFont="1" applyBorder="1"/>
    <xf numFmtId="164" fontId="4" fillId="0" borderId="14" xfId="0" applyNumberFormat="1" applyFont="1" applyBorder="1" applyAlignment="1">
      <alignment horizontal="right"/>
    </xf>
    <xf numFmtId="164" fontId="5" fillId="0" borderId="13" xfId="0" applyNumberFormat="1" applyFont="1" applyBorder="1"/>
    <xf numFmtId="178" fontId="4" fillId="0" borderId="0" xfId="1" applyNumberFormat="1" applyFont="1" applyBorder="1" applyAlignment="1">
      <alignment horizontal="left"/>
    </xf>
    <xf numFmtId="164" fontId="4" fillId="0" borderId="0" xfId="8" applyNumberFormat="1" applyFont="1" applyBorder="1" applyAlignment="1">
      <alignment horizontal="left"/>
    </xf>
    <xf numFmtId="166" fontId="4" fillId="0" borderId="0" xfId="1" applyNumberFormat="1" applyFont="1" applyBorder="1" applyAlignment="1">
      <alignment horizontal="right"/>
    </xf>
    <xf numFmtId="166" fontId="5" fillId="0" borderId="9" xfId="1" applyNumberFormat="1" applyFont="1" applyBorder="1"/>
    <xf numFmtId="42" fontId="4" fillId="0" borderId="0" xfId="1" applyNumberFormat="1" applyFont="1" applyAlignment="1">
      <alignment horizontal="right"/>
    </xf>
    <xf numFmtId="42" fontId="4" fillId="0" borderId="0" xfId="19" applyNumberFormat="1" applyFont="1" applyAlignment="1">
      <alignment horizontal="right"/>
    </xf>
    <xf numFmtId="42" fontId="4" fillId="0" borderId="0" xfId="1" applyNumberFormat="1" applyFont="1" applyBorder="1" applyAlignment="1">
      <alignment horizontal="right"/>
    </xf>
    <xf numFmtId="164" fontId="4" fillId="0" borderId="0" xfId="19" applyNumberFormat="1" applyFont="1" applyAlignment="1">
      <alignment horizontal="left"/>
    </xf>
    <xf numFmtId="164" fontId="4" fillId="0" borderId="0" xfId="1" applyNumberFormat="1" applyFont="1" applyBorder="1" applyAlignment="1">
      <alignment horizontal="left"/>
    </xf>
    <xf numFmtId="182" fontId="4" fillId="0" borderId="0" xfId="0" applyNumberFormat="1" applyFont="1" applyBorder="1" applyAlignment="1">
      <alignment horizontal="left"/>
    </xf>
    <xf numFmtId="182" fontId="4" fillId="0" borderId="0" xfId="0" applyNumberFormat="1" applyFont="1" applyBorder="1" applyAlignment="1">
      <alignment horizontal="center"/>
    </xf>
    <xf numFmtId="164" fontId="4" fillId="0" borderId="0" xfId="19" applyNumberFormat="1" applyFont="1"/>
    <xf numFmtId="14" fontId="4" fillId="0" borderId="0" xfId="8" applyNumberFormat="1" applyFont="1" applyBorder="1" applyAlignment="1">
      <alignment horizontal="left"/>
    </xf>
    <xf numFmtId="166" fontId="4" fillId="0" borderId="0" xfId="8" applyNumberFormat="1" applyFont="1" applyBorder="1" applyAlignment="1"/>
    <xf numFmtId="14" fontId="4" fillId="0" borderId="0" xfId="1" applyNumberFormat="1" applyFont="1"/>
    <xf numFmtId="14" fontId="4" fillId="0" borderId="0" xfId="48" applyNumberFormat="1" applyFont="1"/>
    <xf numFmtId="184" fontId="4" fillId="0" borderId="0" xfId="0" applyNumberFormat="1" applyFont="1" applyAlignment="1">
      <alignment horizontal="center"/>
    </xf>
    <xf numFmtId="14" fontId="23" fillId="0" borderId="0" xfId="8" applyNumberFormat="1" applyFont="1"/>
    <xf numFmtId="42" fontId="4" fillId="0" borderId="0" xfId="0" applyNumberFormat="1" applyFont="1" applyBorder="1" applyAlignment="1">
      <alignment horizontal="left"/>
    </xf>
    <xf numFmtId="14" fontId="11" fillId="0" borderId="0" xfId="0" applyNumberFormat="1" applyFont="1" applyBorder="1" applyAlignment="1"/>
    <xf numFmtId="14" fontId="4" fillId="0" borderId="0" xfId="8" applyNumberFormat="1" applyFont="1" applyFill="1" applyBorder="1" applyAlignment="1">
      <alignment horizontal="right"/>
    </xf>
    <xf numFmtId="14" fontId="4" fillId="0" borderId="0" xfId="8" applyNumberFormat="1" applyFont="1" applyBorder="1" applyAlignment="1">
      <alignment horizontal="right"/>
    </xf>
    <xf numFmtId="14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Fill="1" applyAlignment="1">
      <alignment horizontal="right"/>
    </xf>
    <xf numFmtId="164" fontId="4" fillId="0" borderId="0" xfId="19" applyNumberFormat="1" applyFont="1" applyFill="1" applyAlignment="1">
      <alignment horizontal="left"/>
    </xf>
    <xf numFmtId="42" fontId="4" fillId="0" borderId="0" xfId="19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14" fontId="27" fillId="0" borderId="0" xfId="0" applyNumberFormat="1" applyFont="1" applyBorder="1" applyAlignment="1">
      <alignment horizontal="right"/>
    </xf>
    <xf numFmtId="178" fontId="5" fillId="0" borderId="6" xfId="0" applyNumberFormat="1" applyFont="1" applyBorder="1" applyAlignment="1">
      <alignment horizontal="right"/>
    </xf>
    <xf numFmtId="171" fontId="4" fillId="0" borderId="0" xfId="8" applyNumberFormat="1" applyFont="1" applyBorder="1" applyAlignment="1">
      <alignment horizontal="center"/>
    </xf>
    <xf numFmtId="164" fontId="4" fillId="0" borderId="0" xfId="1" applyNumberFormat="1" applyFont="1" applyAlignment="1">
      <alignment horizontal="left"/>
    </xf>
    <xf numFmtId="14" fontId="4" fillId="0" borderId="0" xfId="1" applyNumberFormat="1" applyFont="1" applyAlignment="1">
      <alignment horizontal="right"/>
    </xf>
    <xf numFmtId="164" fontId="4" fillId="0" borderId="0" xfId="8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178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left"/>
    </xf>
    <xf numFmtId="14" fontId="4" fillId="0" borderId="0" xfId="8" applyNumberFormat="1" applyFont="1" applyBorder="1" applyAlignment="1"/>
    <xf numFmtId="14" fontId="4" fillId="0" borderId="0" xfId="8" applyNumberFormat="1" applyFont="1" applyFill="1" applyBorder="1" applyAlignment="1"/>
    <xf numFmtId="14" fontId="4" fillId="0" borderId="0" xfId="1" applyNumberFormat="1" applyFont="1" applyAlignment="1"/>
    <xf numFmtId="0" fontId="4" fillId="0" borderId="0" xfId="0" applyFont="1" applyFill="1" applyBorder="1" applyAlignment="1">
      <alignment horizontal="right"/>
    </xf>
    <xf numFmtId="44" fontId="4" fillId="0" borderId="0" xfId="0" applyNumberFormat="1" applyFont="1" applyBorder="1" applyAlignment="1">
      <alignment horizontal="left"/>
    </xf>
    <xf numFmtId="178" fontId="4" fillId="0" borderId="0" xfId="1" applyNumberFormat="1" applyFont="1" applyBorder="1" applyAlignment="1"/>
    <xf numFmtId="164" fontId="0" fillId="0" borderId="0" xfId="1" applyNumberFormat="1" applyFont="1"/>
    <xf numFmtId="164" fontId="4" fillId="0" borderId="0" xfId="19" applyNumberFormat="1" applyFont="1" applyBorder="1" applyAlignment="1">
      <alignment horizontal="right"/>
    </xf>
    <xf numFmtId="164" fontId="23" fillId="0" borderId="0" xfId="1" applyNumberFormat="1" applyFont="1" applyBorder="1" applyAlignment="1">
      <alignment horizontal="center"/>
    </xf>
    <xf numFmtId="164" fontId="23" fillId="0" borderId="0" xfId="1" applyNumberFormat="1" applyFont="1"/>
    <xf numFmtId="6" fontId="28" fillId="0" borderId="0" xfId="0" applyNumberFormat="1" applyFont="1" applyBorder="1" applyAlignment="1">
      <alignment horizontal="right" vertical="center" wrapText="1"/>
    </xf>
    <xf numFmtId="6" fontId="0" fillId="0" borderId="0" xfId="0" applyNumberFormat="1" applyFont="1" applyBorder="1"/>
    <xf numFmtId="0" fontId="0" fillId="0" borderId="0" xfId="0" applyBorder="1"/>
    <xf numFmtId="42" fontId="0" fillId="0" borderId="11" xfId="0" applyNumberFormat="1" applyBorder="1"/>
    <xf numFmtId="42" fontId="0" fillId="2" borderId="0" xfId="0" applyNumberFormat="1" applyFill="1"/>
    <xf numFmtId="166" fontId="5" fillId="0" borderId="6" xfId="0" applyNumberFormat="1" applyFont="1" applyBorder="1" applyAlignment="1">
      <alignment horizontal="right"/>
    </xf>
    <xf numFmtId="164" fontId="4" fillId="0" borderId="0" xfId="8" applyNumberFormat="1" applyFont="1" applyAlignment="1">
      <alignment horizontal="left"/>
    </xf>
    <xf numFmtId="164" fontId="4" fillId="0" borderId="0" xfId="23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" fontId="4" fillId="0" borderId="0" xfId="23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43" fontId="4" fillId="0" borderId="0" xfId="1" applyFont="1" applyFill="1" applyBorder="1" applyAlignment="1">
      <alignment horizontal="center"/>
    </xf>
    <xf numFmtId="169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/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B/Records%20Request/2021/2020PABSUMMARY-%20CDFA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020 CF"/>
      <sheetName val="Aug 15"/>
      <sheetName val="SC1 MRB"/>
      <sheetName val="SC2 State Voted"/>
      <sheetName val="SC3 Small Issue IDBs"/>
      <sheetName val="SC4 TSAHC"/>
      <sheetName val="SC4 MF- TDHCA"/>
      <sheetName val="SC4 MF- Local Collapse"/>
      <sheetName val="REGION 1"/>
      <sheetName val="REGION 2"/>
      <sheetName val="REGION 3"/>
      <sheetName val="REGION 4"/>
      <sheetName val="REGION 5"/>
      <sheetName val="REGION 6"/>
      <sheetName val="REGION 7"/>
      <sheetName val="REGION 8"/>
      <sheetName val="REGION 9"/>
      <sheetName val="REGION 10"/>
      <sheetName val="REGION 11"/>
      <sheetName val="REGION 12"/>
      <sheetName val="REGION 13"/>
      <sheetName val="SC5 OTHER"/>
      <sheetName val="2017 CF"/>
      <sheetName val="2018 CF"/>
      <sheetName val="2019 CF"/>
      <sheetName val="Bond Buyer"/>
      <sheetName val="Survey"/>
    </sheetNames>
    <sheetDataSet>
      <sheetData sheetId="0"/>
      <sheetData sheetId="1"/>
      <sheetData sheetId="2">
        <row r="47">
          <cell r="P47">
            <v>800000000</v>
          </cell>
        </row>
      </sheetData>
      <sheetData sheetId="3">
        <row r="10">
          <cell r="P10">
            <v>400000000</v>
          </cell>
        </row>
        <row r="11">
          <cell r="P11">
            <v>184997155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2">
          <cell r="L22">
            <v>80574602.449999988</v>
          </cell>
        </row>
        <row r="23">
          <cell r="L23">
            <v>47559482</v>
          </cell>
        </row>
        <row r="24">
          <cell r="L24">
            <v>220000000</v>
          </cell>
        </row>
      </sheetData>
      <sheetData sheetId="25">
        <row r="32">
          <cell r="P32">
            <v>44471266.449999988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00"/>
  <sheetViews>
    <sheetView tabSelected="1" zoomScale="120" zoomScaleNormal="120" workbookViewId="0">
      <selection activeCell="C4" sqref="C4"/>
    </sheetView>
  </sheetViews>
  <sheetFormatPr defaultColWidth="9.140625" defaultRowHeight="12"/>
  <cols>
    <col min="1" max="1" width="32.42578125" style="17" customWidth="1"/>
    <col min="2" max="2" width="16" style="41" bestFit="1" customWidth="1"/>
    <col min="3" max="3" width="14.85546875" style="17" bestFit="1" customWidth="1"/>
    <col min="4" max="4" width="12.85546875" style="41" customWidth="1"/>
    <col min="5" max="5" width="12.85546875" style="41" bestFit="1" customWidth="1"/>
    <col min="6" max="6" width="15.140625" style="17" bestFit="1" customWidth="1"/>
    <col min="7" max="7" width="13.42578125" style="17" bestFit="1" customWidth="1"/>
    <col min="8" max="8" width="14.85546875" style="17" bestFit="1" customWidth="1"/>
    <col min="9" max="9" width="14.28515625" style="17" bestFit="1" customWidth="1"/>
    <col min="10" max="10" width="13.85546875" style="17" bestFit="1" customWidth="1"/>
    <col min="11" max="11" width="14.28515625" style="17" bestFit="1" customWidth="1"/>
    <col min="12" max="16384" width="9.140625" style="17"/>
  </cols>
  <sheetData>
    <row r="1" spans="1:11">
      <c r="A1" s="473"/>
      <c r="B1" s="315"/>
      <c r="C1" s="64"/>
      <c r="F1" s="64"/>
      <c r="H1" s="152"/>
    </row>
    <row r="2" spans="1:11">
      <c r="G2" s="287"/>
      <c r="H2" s="14"/>
    </row>
    <row r="3" spans="1:11" s="1" customFormat="1">
      <c r="A3" s="52" t="s">
        <v>275</v>
      </c>
      <c r="B3" s="17"/>
      <c r="C3" s="8">
        <v>42908</v>
      </c>
      <c r="D3" s="269"/>
      <c r="F3" s="7"/>
      <c r="G3" s="468"/>
      <c r="H3" s="467"/>
      <c r="I3" s="116"/>
      <c r="J3" s="116"/>
    </row>
    <row r="4" spans="1:11" s="1" customFormat="1">
      <c r="A4" s="473"/>
      <c r="B4" s="17"/>
      <c r="D4" s="7"/>
      <c r="F4" s="260"/>
      <c r="G4" s="62"/>
      <c r="H4" s="70"/>
    </row>
    <row r="5" spans="1:11" s="1" customFormat="1">
      <c r="A5" s="473"/>
      <c r="B5" s="152">
        <f>SUM(C5:I5)</f>
        <v>1</v>
      </c>
      <c r="C5" s="19">
        <v>0.32250000000000001</v>
      </c>
      <c r="D5" s="19">
        <v>0.1</v>
      </c>
      <c r="E5" s="19">
        <v>0.02</v>
      </c>
      <c r="F5" s="470">
        <v>2.6249999999999999E-2</v>
      </c>
      <c r="G5" s="469">
        <v>5.2499999999999998E-2</v>
      </c>
      <c r="H5" s="469">
        <v>0.18375</v>
      </c>
      <c r="I5" s="218">
        <v>0.29499999999999998</v>
      </c>
    </row>
    <row r="6" spans="1:11" s="1" customFormat="1">
      <c r="A6" s="473"/>
      <c r="B6" s="64"/>
      <c r="C6" s="110" t="s">
        <v>58</v>
      </c>
      <c r="D6" s="110" t="s">
        <v>59</v>
      </c>
      <c r="E6" s="110" t="s">
        <v>60</v>
      </c>
      <c r="F6" s="110" t="s">
        <v>61</v>
      </c>
      <c r="G6" s="110" t="s">
        <v>61</v>
      </c>
      <c r="H6" s="110" t="s">
        <v>61</v>
      </c>
      <c r="I6" s="110" t="s">
        <v>62</v>
      </c>
      <c r="J6" s="607" t="s">
        <v>534</v>
      </c>
    </row>
    <row r="7" spans="1:11" s="1" customFormat="1">
      <c r="A7" s="52"/>
      <c r="B7" s="133" t="s">
        <v>15</v>
      </c>
      <c r="C7" s="134" t="s">
        <v>35</v>
      </c>
      <c r="D7" s="132" t="s">
        <v>26</v>
      </c>
      <c r="E7" s="132" t="s">
        <v>3</v>
      </c>
      <c r="F7" s="135" t="s">
        <v>54</v>
      </c>
      <c r="G7" s="135" t="s">
        <v>13</v>
      </c>
      <c r="H7" s="135" t="s">
        <v>20</v>
      </c>
      <c r="I7" s="133" t="s">
        <v>16</v>
      </c>
      <c r="J7" s="608" t="s">
        <v>532</v>
      </c>
    </row>
    <row r="8" spans="1:11" s="1" customFormat="1">
      <c r="A8" s="309" t="s">
        <v>370</v>
      </c>
      <c r="B8" s="308">
        <f>28995881*105</f>
        <v>3044567505</v>
      </c>
      <c r="C8" s="88">
        <f>ROUND(C5*$B$8,0)+1</f>
        <v>981873021</v>
      </c>
      <c r="D8" s="88">
        <f>ROUND(D5*$B$8,0)</f>
        <v>304456751</v>
      </c>
      <c r="E8" s="88">
        <f>ROUND(E5*$B$8,0)</f>
        <v>60891350</v>
      </c>
      <c r="F8" s="88">
        <f>ROUND(F5*$B$8,0)</f>
        <v>79919897</v>
      </c>
      <c r="G8" s="88">
        <f>ROUND(G5*$B$8,0)</f>
        <v>159839794</v>
      </c>
      <c r="H8" s="88">
        <f>ROUND(H5*$B$8,0)</f>
        <v>559439279</v>
      </c>
      <c r="I8" s="88">
        <f>ROUND(I5*$B$8,0)-1</f>
        <v>898147413</v>
      </c>
      <c r="J8" s="613">
        <f>'Aug 15'!B1</f>
        <v>982595000.30000007</v>
      </c>
      <c r="K8" s="116"/>
    </row>
    <row r="9" spans="1:11" s="1" customFormat="1">
      <c r="A9" s="129"/>
      <c r="B9" s="263"/>
      <c r="C9" s="87"/>
      <c r="D9" s="87"/>
      <c r="E9" s="87"/>
      <c r="F9" s="87"/>
      <c r="G9" s="87"/>
      <c r="H9" s="87"/>
      <c r="I9" s="87"/>
      <c r="J9" s="610"/>
    </row>
    <row r="10" spans="1:11" s="1" customFormat="1">
      <c r="A10" s="129" t="s">
        <v>69</v>
      </c>
      <c r="B10" s="263">
        <f>SUM(C10:J10)</f>
        <v>7678257562.585</v>
      </c>
      <c r="C10" s="87">
        <f>'SC1 MRB'!$H$20</f>
        <v>1611872267</v>
      </c>
      <c r="D10" s="87">
        <f>+'SC2 State Voted'!F9</f>
        <v>100000000</v>
      </c>
      <c r="E10" s="87">
        <f>+'SC3 Small Issue IDBs'!F11</f>
        <v>0</v>
      </c>
      <c r="F10" s="87">
        <f>'SC4 TSAHC'!F19</f>
        <v>153120000</v>
      </c>
      <c r="G10" s="87">
        <f>+'SC4 MF- TDHCA'!F29</f>
        <v>250800000</v>
      </c>
      <c r="H10" s="138">
        <f>'REGION 1'!F9+'REGION 2'!F8+'REGION 3'!F15+'REGION 4'!F8+'REGION 5'!F8+'REGION 6'!F16+'REGION 7'!F16+'REGION 9'!F14+'REGION 10'!F8+'REGION 11'!F8+'REGION 12'!F9+'REGION 13'!F8+'SC4 MF- Local Collapse'!F44</f>
        <v>994207647.58500004</v>
      </c>
      <c r="I10" s="87">
        <f>'SC5 OTHER'!$F$76</f>
        <v>2280757648</v>
      </c>
      <c r="J10" s="609">
        <f>'Aug 15'!F50</f>
        <v>2287500000</v>
      </c>
    </row>
    <row r="11" spans="1:11" s="1" customFormat="1">
      <c r="A11" s="212"/>
      <c r="B11" s="263"/>
      <c r="C11" s="87"/>
      <c r="D11" s="87"/>
      <c r="E11" s="87"/>
      <c r="F11" s="87"/>
      <c r="G11" s="87"/>
      <c r="H11" s="87"/>
      <c r="I11" s="87"/>
      <c r="J11" s="610"/>
    </row>
    <row r="12" spans="1:11" s="1" customFormat="1">
      <c r="A12" s="212" t="s">
        <v>66</v>
      </c>
      <c r="B12" s="263">
        <f>SUM(C12:J12)</f>
        <v>7351632562.585</v>
      </c>
      <c r="C12" s="87">
        <f>'SC1 MRB'!$I$20</f>
        <v>1611872267</v>
      </c>
      <c r="D12" s="87">
        <f>+'SC2 State Voted'!G9</f>
        <v>100000000</v>
      </c>
      <c r="E12" s="87">
        <f>+'SC3 Small Issue IDBs'!G11</f>
        <v>0</v>
      </c>
      <c r="F12" s="87">
        <f>'SC4 TSAHC'!G19</f>
        <v>153120000</v>
      </c>
      <c r="G12" s="87">
        <f>'SC4 MF- TDHCA'!G29</f>
        <v>250800000</v>
      </c>
      <c r="H12" s="87">
        <f>'REGION 1'!G9+'REGION 2'!G8+'REGION 3'!G15+'REGION 4'!G8+'REGION 5'!G8+'REGION 6'!G16+'REGION 7'!G16+'REGION 8'!G8+'REGION 9'!G14+'REGION 10'!G8+'REGION 11'!G8+'REGION 12'!G9+'REGION 13'!G8+'SC4 MF- Local Collapse'!G44</f>
        <v>994207647.58500004</v>
      </c>
      <c r="I12" s="87">
        <f>'SC5 OTHER'!$G$76</f>
        <v>2280757648</v>
      </c>
      <c r="J12" s="611">
        <f>'Aug 15'!I50</f>
        <v>1960875000</v>
      </c>
    </row>
    <row r="13" spans="1:11" s="1" customFormat="1">
      <c r="A13" s="212"/>
      <c r="B13" s="263"/>
      <c r="C13" s="87"/>
      <c r="D13" s="87"/>
      <c r="E13" s="87"/>
      <c r="F13" s="87"/>
      <c r="G13" s="87"/>
      <c r="H13" s="87"/>
      <c r="I13" s="87"/>
      <c r="J13" s="610"/>
    </row>
    <row r="14" spans="1:11" s="1" customFormat="1">
      <c r="A14" s="212" t="s">
        <v>65</v>
      </c>
      <c r="B14" s="263">
        <f>SUM(C14:J14)</f>
        <v>5637073934</v>
      </c>
      <c r="C14" s="87">
        <f>'SC1 MRB'!L20</f>
        <v>1453571286</v>
      </c>
      <c r="D14" s="87">
        <f>'SC2 State Voted'!J9</f>
        <v>100000000</v>
      </c>
      <c r="E14" s="87">
        <f>'SC3 Small Issue IDBs'!J11</f>
        <v>0</v>
      </c>
      <c r="F14" s="87">
        <f>'SC4 TSAHC'!J19</f>
        <v>153120000</v>
      </c>
      <c r="G14" s="87">
        <f>'SC4 MF- TDHCA'!J29</f>
        <v>250800000</v>
      </c>
      <c r="H14" s="87">
        <f>'REGION 1'!J9+'REGION 2'!J8+'REGION 3'!J15+'REGION 4'!J8+'REGION 5'!J8+'REGION 6'!J16+'REGION 7'!J16+'REGION 8'!J8+'REGION 9'!J14+'REGION 10'!J8+'REGION 11'!J8+'REGION 12'!J9+'REGION 13'!J8+'SC4 MF- Local Collapse'!J44</f>
        <v>851950000</v>
      </c>
      <c r="I14" s="87">
        <f>'SC5 OTHER'!J76</f>
        <v>1847257648</v>
      </c>
      <c r="J14" s="611">
        <f>'Aug 15'!L50</f>
        <v>980375000</v>
      </c>
    </row>
    <row r="15" spans="1:11" s="1" customFormat="1">
      <c r="A15" s="212"/>
      <c r="B15" s="263"/>
      <c r="C15" s="87"/>
      <c r="D15" s="87"/>
      <c r="E15" s="87"/>
      <c r="F15" s="87"/>
      <c r="G15" s="87"/>
      <c r="H15" s="87"/>
      <c r="I15" s="87"/>
      <c r="J15" s="610"/>
    </row>
    <row r="16" spans="1:11" s="1" customFormat="1">
      <c r="A16" s="212" t="s">
        <v>67</v>
      </c>
      <c r="B16" s="263">
        <f>SUM(C16:J16)</f>
        <v>1123089816.7</v>
      </c>
      <c r="C16" s="87">
        <f>'SC1 MRB'!$N$20</f>
        <v>0</v>
      </c>
      <c r="D16" s="87">
        <f>+'SC2 State Voted'!L9</f>
        <v>69990168.900000006</v>
      </c>
      <c r="E16" s="87">
        <f>+'SC3 Small Issue IDBs'!L11</f>
        <v>0</v>
      </c>
      <c r="F16" s="87">
        <f>'SC4 TSAHC'!L19</f>
        <v>9872000</v>
      </c>
      <c r="G16" s="87">
        <f>+'SC4 MF- TDHCA'!L29</f>
        <v>158800000</v>
      </c>
      <c r="H16" s="87">
        <f>'REGION 1'!L10+'REGION 2'!L8+'REGION 3'!L7+'REGION 4'!L8+'REGION 5'!L8+'REGION 6'!L16+'REGION 7'!L16+'REGION 8'!L8+'REGION 11'!L8+'REGION 12'!L9+'REGION 9'!L14+'REGION 10'!L8+'REGION 13'!L8+'SC4 MF- Local Collapse'!L44</f>
        <v>264964000</v>
      </c>
      <c r="I16" s="87">
        <f>'SC5 OTHER'!L76</f>
        <v>452766647.80000001</v>
      </c>
      <c r="J16" s="611">
        <f>'Aug 15'!N50</f>
        <v>166697000</v>
      </c>
    </row>
    <row r="17" spans="1:10" s="1" customFormat="1">
      <c r="A17" s="212"/>
      <c r="B17" s="263"/>
      <c r="C17" s="87"/>
      <c r="D17" s="87"/>
      <c r="E17" s="87"/>
      <c r="F17" s="87"/>
      <c r="G17" s="87"/>
      <c r="H17" s="142"/>
      <c r="I17" s="87"/>
      <c r="J17" s="610"/>
    </row>
    <row r="18" spans="1:10" s="1" customFormat="1">
      <c r="A18" s="212" t="s">
        <v>52</v>
      </c>
      <c r="B18" s="263">
        <f>SUM(C18:J18)</f>
        <v>4403088057.8850002</v>
      </c>
      <c r="C18" s="87">
        <f>'SC1 MRB'!$O$20</f>
        <v>758300227</v>
      </c>
      <c r="D18" s="87">
        <f>+'SC2 State Voted'!M9</f>
        <v>30009831.099999994</v>
      </c>
      <c r="E18" s="87">
        <f>+'SC3 Small Issue IDBs'!M11</f>
        <v>0</v>
      </c>
      <c r="F18" s="87">
        <f>'SC4 TSAHC'!M19</f>
        <v>104748000</v>
      </c>
      <c r="G18" s="87">
        <f>+'SC4 MF- TDHCA'!M29</f>
        <v>92000000</v>
      </c>
      <c r="H18" s="87">
        <f>'REGION 1'!M9+'REGION 2'!M8+'REGION 3'!M15+'REGION 4'!M8+'REGION 5'!M8+'REGION 6'!M16+'REGION 7'!M16+'REGION 8'!M8+'REGION 9'!M14+'REGION 10'!M8+'REGION 11'!M8+'REGION 12'!M9+'REGION 13'!M8+'SC4 MF- Local Collapse'!M44</f>
        <v>622493647.58500004</v>
      </c>
      <c r="I18" s="87">
        <f>'SC5 OTHER'!M76</f>
        <v>1721233352.2</v>
      </c>
      <c r="J18" s="611">
        <f>'Aug 15'!O50</f>
        <v>1074303000</v>
      </c>
    </row>
    <row r="19" spans="1:10" s="1" customFormat="1">
      <c r="A19" s="129"/>
      <c r="B19" s="263"/>
      <c r="C19" s="87"/>
      <c r="D19" s="87"/>
      <c r="E19" s="87"/>
      <c r="F19" s="87"/>
      <c r="G19" s="87"/>
      <c r="H19" s="87"/>
      <c r="I19" s="87"/>
      <c r="J19" s="610"/>
    </row>
    <row r="20" spans="1:10" s="1" customFormat="1">
      <c r="A20" s="129" t="s">
        <v>30</v>
      </c>
      <c r="B20" s="263">
        <f>SUM(C20:J20)</f>
        <v>191625000</v>
      </c>
      <c r="C20" s="87">
        <f t="shared" ref="C20:H20" si="0">+C10-C12</f>
        <v>0</v>
      </c>
      <c r="D20" s="87">
        <f t="shared" si="0"/>
        <v>0</v>
      </c>
      <c r="E20" s="87">
        <f t="shared" si="0"/>
        <v>0</v>
      </c>
      <c r="F20" s="87">
        <f t="shared" si="0"/>
        <v>0</v>
      </c>
      <c r="G20" s="87">
        <f>+G10-G12</f>
        <v>0</v>
      </c>
      <c r="H20" s="87">
        <f t="shared" si="0"/>
        <v>0</v>
      </c>
      <c r="I20" s="87">
        <f>+I10-I12</f>
        <v>0</v>
      </c>
      <c r="J20" s="611">
        <f>'Aug 15'!F52</f>
        <v>191625000</v>
      </c>
    </row>
    <row r="21" spans="1:10" s="1" customFormat="1">
      <c r="A21" s="129"/>
      <c r="B21" s="263"/>
      <c r="C21" s="87"/>
      <c r="D21" s="87"/>
      <c r="E21" s="87"/>
      <c r="F21" s="87"/>
      <c r="G21" s="87"/>
      <c r="H21" s="87"/>
      <c r="I21" s="87"/>
      <c r="J21" s="610"/>
    </row>
    <row r="22" spans="1:10" s="1" customFormat="1">
      <c r="A22" s="61" t="s">
        <v>383</v>
      </c>
      <c r="B22" s="270">
        <f>'Aug 15'!F59</f>
        <v>96023000.300000072</v>
      </c>
      <c r="C22" s="124">
        <f>+C8-C12+C18</f>
        <v>128300981</v>
      </c>
      <c r="D22" s="124">
        <f>+D8-D12+D18</f>
        <v>234466582.09999999</v>
      </c>
      <c r="E22" s="124">
        <f>+E8-E12+E18</f>
        <v>60891350</v>
      </c>
      <c r="F22" s="124">
        <f>+F8-F12+F18+'SC4 TSAHC'!E27</f>
        <v>31547897</v>
      </c>
      <c r="G22" s="124">
        <f>+G8-G12+G18+'SC4 MF- TDHCA'!E39</f>
        <v>1039794</v>
      </c>
      <c r="H22" s="124">
        <f>+H8-H12+H18+'SC4 MF- Local Collapse'!E53</f>
        <v>187725279</v>
      </c>
      <c r="I22" s="124">
        <f>+I8-I12+I18+'SC5 OTHER'!E88</f>
        <v>338623117.20000005</v>
      </c>
      <c r="J22" s="612">
        <f>J8-J12+J18+'Aug 15'!D59</f>
        <v>96023000.300000072</v>
      </c>
    </row>
    <row r="23" spans="1:10" s="1" customFormat="1">
      <c r="A23" s="61"/>
      <c r="B23" s="263"/>
      <c r="C23" s="232"/>
      <c r="D23" s="232"/>
      <c r="E23" s="232"/>
      <c r="F23" s="232"/>
      <c r="G23" s="232"/>
      <c r="H23" s="232"/>
      <c r="I23" s="232"/>
    </row>
    <row r="24" spans="1:10">
      <c r="A24" s="36" t="s">
        <v>181</v>
      </c>
      <c r="B24" s="324">
        <f>SUM(C24:I24)</f>
        <v>82005055.920000136</v>
      </c>
      <c r="C24" s="87">
        <v>0</v>
      </c>
      <c r="D24" s="87">
        <v>0</v>
      </c>
      <c r="E24" s="87" t="s">
        <v>161</v>
      </c>
      <c r="F24" s="87">
        <v>0</v>
      </c>
      <c r="G24" s="87">
        <v>0</v>
      </c>
      <c r="H24" s="87">
        <f>'2017 CF'!M12+'2017 CF'!M21</f>
        <v>52090308.050000012</v>
      </c>
      <c r="I24" s="87">
        <f>'2017 CF'!M26</f>
        <v>29914747.870000124</v>
      </c>
    </row>
    <row r="25" spans="1:10">
      <c r="A25" s="36" t="s">
        <v>216</v>
      </c>
      <c r="B25" s="69">
        <f>SUM(C25:I25)</f>
        <v>295907040</v>
      </c>
      <c r="C25" s="232">
        <f>'2018 CF'!M31</f>
        <v>108355040</v>
      </c>
      <c r="D25" s="87">
        <f>'2018 CF'!M37</f>
        <v>0</v>
      </c>
      <c r="E25" s="87" t="s">
        <v>161</v>
      </c>
      <c r="F25" s="87">
        <f>'2018 CF'!M44</f>
        <v>0</v>
      </c>
      <c r="G25" s="87">
        <v>0</v>
      </c>
      <c r="H25" s="87">
        <f>'2018 CF'!M14+'2018 CF'!M48-'2018 CF'!M44</f>
        <v>187552000</v>
      </c>
      <c r="I25" s="87">
        <v>0</v>
      </c>
    </row>
    <row r="26" spans="1:10">
      <c r="A26" s="36" t="s">
        <v>342</v>
      </c>
      <c r="B26" s="69">
        <f>SUM(C26:I26)</f>
        <v>837424700.89999998</v>
      </c>
      <c r="C26" s="232">
        <f>'2019 CF'!M40</f>
        <v>761288338.89999998</v>
      </c>
      <c r="D26" s="87">
        <v>0</v>
      </c>
      <c r="E26" s="87" t="s">
        <v>161</v>
      </c>
      <c r="F26" s="87">
        <f>'2019 CF'!M47+'2019 CF'!M48+'2019 CF'!M49+'2019 CF'!M55</f>
        <v>0</v>
      </c>
      <c r="G26" s="87">
        <f>'2019 CF'!M45+'2019 CF'!M50+'2019 CF'!M54</f>
        <v>0</v>
      </c>
      <c r="H26" s="87">
        <f>'2019 CF'!M18+'2019 CF'!M65</f>
        <v>76136362</v>
      </c>
      <c r="I26" s="87">
        <f>'2019 CF'!M70</f>
        <v>0</v>
      </c>
    </row>
    <row r="27" spans="1:10">
      <c r="B27" s="31"/>
      <c r="C27" s="232"/>
      <c r="D27" s="87"/>
      <c r="E27" s="87"/>
      <c r="F27" s="87"/>
      <c r="G27" s="87"/>
      <c r="H27" s="87"/>
      <c r="I27" s="87"/>
    </row>
    <row r="28" spans="1:10" ht="12" customHeight="1" thickBot="1">
      <c r="B28" s="141">
        <f>SUM(B22:B26)</f>
        <v>1311359797.1200001</v>
      </c>
      <c r="C28" s="141">
        <f>SUM(C22:C27)</f>
        <v>997944359.89999998</v>
      </c>
      <c r="D28" s="141">
        <f t="shared" ref="D28:I28" si="1">SUM(D22:D27)</f>
        <v>234466582.09999999</v>
      </c>
      <c r="E28" s="141">
        <f t="shared" si="1"/>
        <v>60891350</v>
      </c>
      <c r="F28" s="141">
        <f t="shared" si="1"/>
        <v>31547897</v>
      </c>
      <c r="G28" s="141">
        <f t="shared" si="1"/>
        <v>1039794</v>
      </c>
      <c r="H28" s="141">
        <f t="shared" si="1"/>
        <v>503503949.05000001</v>
      </c>
      <c r="I28" s="141">
        <f t="shared" si="1"/>
        <v>368537865.07000017</v>
      </c>
    </row>
    <row r="29" spans="1:10" ht="12.75" thickTop="1">
      <c r="B29" s="17"/>
      <c r="C29" s="14"/>
      <c r="D29" s="14"/>
      <c r="E29" s="14"/>
      <c r="F29" s="14"/>
      <c r="H29" s="14"/>
      <c r="I29" s="14"/>
    </row>
    <row r="30" spans="1:10">
      <c r="A30" s="19"/>
      <c r="B30" s="128"/>
      <c r="D30" s="17"/>
      <c r="E30" s="17"/>
      <c r="F30" s="14"/>
      <c r="H30" s="109"/>
    </row>
    <row r="31" spans="1:10" ht="15.75">
      <c r="B31" s="361"/>
      <c r="C31" s="148"/>
      <c r="D31" s="17"/>
      <c r="E31" s="14" t="s">
        <v>7</v>
      </c>
      <c r="G31" s="14"/>
    </row>
    <row r="32" spans="1:10" ht="15.75">
      <c r="B32" s="463"/>
      <c r="C32" s="312"/>
      <c r="E32" s="19"/>
      <c r="F32" s="372"/>
      <c r="G32" s="76"/>
      <c r="H32" s="76"/>
      <c r="I32" s="301"/>
    </row>
    <row r="33" spans="2:9">
      <c r="B33" s="461"/>
      <c r="C33" s="55"/>
      <c r="D33" s="76"/>
      <c r="E33" s="16"/>
      <c r="F33" s="16"/>
      <c r="G33" s="16"/>
      <c r="H33" s="16"/>
      <c r="I33" s="16"/>
    </row>
    <row r="34" spans="2:9">
      <c r="B34" s="69"/>
      <c r="C34" s="72"/>
      <c r="D34" s="72"/>
      <c r="E34" s="72"/>
      <c r="F34" s="72"/>
      <c r="G34" s="72"/>
      <c r="H34" s="72"/>
      <c r="I34" s="72"/>
    </row>
    <row r="35" spans="2:9">
      <c r="B35" s="69"/>
      <c r="C35" s="257"/>
      <c r="D35" s="69"/>
      <c r="E35" s="69"/>
      <c r="F35" s="69"/>
      <c r="G35" s="69"/>
      <c r="H35" s="69"/>
      <c r="I35" s="69"/>
    </row>
    <row r="36" spans="2:9">
      <c r="B36" s="204"/>
      <c r="C36" s="256"/>
      <c r="D36" s="17"/>
      <c r="E36" s="17"/>
      <c r="G36" s="16"/>
      <c r="H36" s="149"/>
    </row>
    <row r="37" spans="2:9">
      <c r="B37" s="206"/>
      <c r="C37" s="36"/>
      <c r="D37" s="17"/>
      <c r="E37" s="17"/>
      <c r="F37" s="14"/>
    </row>
    <row r="38" spans="2:9">
      <c r="B38" s="145"/>
      <c r="C38" s="205"/>
      <c r="D38" s="17"/>
      <c r="E38" s="17"/>
      <c r="F38" s="14"/>
      <c r="H38" s="14"/>
    </row>
    <row r="39" spans="2:9">
      <c r="B39" s="111"/>
      <c r="D39" s="148"/>
      <c r="E39" s="17"/>
    </row>
    <row r="40" spans="2:9">
      <c r="B40" s="416"/>
      <c r="D40" s="109"/>
      <c r="E40" s="17"/>
      <c r="H40" s="139"/>
    </row>
    <row r="41" spans="2:9" ht="12.75">
      <c r="B41" s="17"/>
      <c r="C41" s="150"/>
      <c r="D41" s="109"/>
      <c r="E41" s="17"/>
    </row>
    <row r="42" spans="2:9" ht="12.75">
      <c r="C42" s="151"/>
      <c r="D42" s="109"/>
      <c r="E42" s="17"/>
    </row>
    <row r="43" spans="2:9">
      <c r="B43"/>
      <c r="C43" s="111"/>
      <c r="D43" s="109"/>
      <c r="E43" s="17"/>
    </row>
    <row r="44" spans="2:9">
      <c r="B44" s="17"/>
      <c r="D44" s="17"/>
      <c r="E44" s="17"/>
    </row>
    <row r="45" spans="2:9">
      <c r="B45" s="17"/>
      <c r="D45" s="109"/>
      <c r="E45" s="17"/>
    </row>
    <row r="46" spans="2:9">
      <c r="B46" s="17"/>
      <c r="D46" s="17"/>
      <c r="E46" s="17"/>
      <c r="H46" s="109"/>
    </row>
    <row r="47" spans="2:9">
      <c r="B47" s="17"/>
      <c r="D47" s="17"/>
      <c r="E47" s="17"/>
    </row>
    <row r="48" spans="2:9">
      <c r="B48" s="17"/>
      <c r="D48" s="17"/>
      <c r="E48" s="17"/>
    </row>
    <row r="49" spans="2:7">
      <c r="B49" s="17"/>
      <c r="D49" s="17"/>
      <c r="E49" s="17"/>
    </row>
    <row r="50" spans="2:7">
      <c r="B50" s="17"/>
      <c r="D50" s="17"/>
      <c r="E50" s="17"/>
    </row>
    <row r="51" spans="2:7">
      <c r="B51" s="17"/>
      <c r="D51" s="17"/>
      <c r="E51" s="17"/>
    </row>
    <row r="52" spans="2:7">
      <c r="B52" s="17"/>
      <c r="D52" s="17"/>
      <c r="E52" s="17"/>
    </row>
    <row r="53" spans="2:7">
      <c r="B53" s="64"/>
      <c r="D53" s="17"/>
      <c r="E53" s="17"/>
    </row>
    <row r="54" spans="2:7">
      <c r="B54" s="84"/>
      <c r="D54" s="17"/>
      <c r="E54" s="17"/>
    </row>
    <row r="55" spans="2:7">
      <c r="B55" s="64"/>
      <c r="D55" s="17"/>
      <c r="E55" s="17"/>
    </row>
    <row r="56" spans="2:7">
      <c r="B56" s="64"/>
      <c r="D56" s="17"/>
      <c r="E56" s="17"/>
    </row>
    <row r="57" spans="2:7">
      <c r="B57" s="17"/>
      <c r="D57" s="17"/>
      <c r="E57" s="17"/>
      <c r="F57" s="111"/>
      <c r="G57" s="111"/>
    </row>
    <row r="58" spans="2:7">
      <c r="B58" s="17"/>
      <c r="D58" s="17"/>
      <c r="E58" s="17"/>
    </row>
    <row r="59" spans="2:7">
      <c r="B59" s="17"/>
      <c r="D59" s="17"/>
      <c r="E59" s="17"/>
    </row>
    <row r="60" spans="2:7">
      <c r="B60" s="17"/>
      <c r="D60" s="17"/>
      <c r="E60" s="17"/>
    </row>
    <row r="61" spans="2:7">
      <c r="B61" s="17"/>
      <c r="D61" s="17"/>
      <c r="E61" s="17"/>
    </row>
    <row r="62" spans="2:7">
      <c r="B62" s="17"/>
      <c r="D62" s="17"/>
      <c r="E62" s="17"/>
    </row>
    <row r="63" spans="2:7">
      <c r="B63" s="17"/>
      <c r="D63" s="17"/>
      <c r="E63" s="17"/>
    </row>
    <row r="64" spans="2:7">
      <c r="B64" s="17"/>
      <c r="D64" s="17"/>
      <c r="E64" s="17"/>
    </row>
    <row r="65" spans="2:9">
      <c r="B65" s="17"/>
      <c r="D65" s="17"/>
      <c r="E65" s="17"/>
    </row>
    <row r="66" spans="2:9">
      <c r="B66" s="17"/>
      <c r="D66" s="17"/>
      <c r="E66" s="17"/>
    </row>
    <row r="67" spans="2:9">
      <c r="B67" s="17"/>
      <c r="D67" s="17"/>
      <c r="E67" s="17"/>
    </row>
    <row r="68" spans="2:9">
      <c r="B68" s="17"/>
      <c r="D68" s="17"/>
      <c r="E68" s="17"/>
    </row>
    <row r="69" spans="2:9">
      <c r="B69" s="17"/>
      <c r="D69" s="17"/>
      <c r="E69" s="17"/>
    </row>
    <row r="70" spans="2:9">
      <c r="B70" s="17"/>
      <c r="D70" s="17"/>
      <c r="E70" s="17"/>
    </row>
    <row r="71" spans="2:9">
      <c r="B71" s="17"/>
      <c r="D71" s="17"/>
      <c r="E71" s="17"/>
    </row>
    <row r="72" spans="2:9">
      <c r="B72" s="17"/>
      <c r="D72" s="17"/>
      <c r="E72" s="17"/>
    </row>
    <row r="73" spans="2:9">
      <c r="B73" s="17"/>
      <c r="D73" s="17"/>
      <c r="E73" s="17"/>
      <c r="F73" s="109"/>
      <c r="G73" s="109"/>
    </row>
    <row r="74" spans="2:9">
      <c r="B74" s="17"/>
      <c r="D74" s="84"/>
      <c r="E74" s="84"/>
      <c r="F74" s="84"/>
      <c r="G74" s="84"/>
      <c r="I74" s="111"/>
    </row>
    <row r="75" spans="2:9">
      <c r="B75" s="17"/>
      <c r="D75" s="17"/>
      <c r="E75" s="17"/>
      <c r="F75" s="109"/>
      <c r="G75" s="109"/>
    </row>
    <row r="76" spans="2:9">
      <c r="B76" s="17"/>
      <c r="D76" s="17"/>
      <c r="E76" s="17"/>
      <c r="F76" s="111"/>
      <c r="G76" s="111"/>
    </row>
    <row r="77" spans="2:9">
      <c r="B77" s="17"/>
      <c r="C77" s="12"/>
      <c r="D77" s="17"/>
      <c r="E77" s="17"/>
    </row>
    <row r="78" spans="2:9">
      <c r="B78" s="17"/>
      <c r="D78" s="17"/>
      <c r="E78" s="17"/>
    </row>
    <row r="79" spans="2:9">
      <c r="B79" s="17"/>
      <c r="D79" s="17"/>
      <c r="E79" s="17"/>
    </row>
    <row r="80" spans="2:9">
      <c r="B80" s="17"/>
      <c r="D80" s="17"/>
      <c r="E80" s="17"/>
    </row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</sheetData>
  <phoneticPr fontId="0" type="noConversion"/>
  <pageMargins left="0.75" right="0.75" top="1" bottom="1" header="0.5" footer="0.5"/>
  <pageSetup scale="74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13" sqref="G13"/>
    </sheetView>
  </sheetViews>
  <sheetFormatPr defaultColWidth="10.85546875" defaultRowHeight="12"/>
  <cols>
    <col min="1" max="1" width="14.5703125" style="17" bestFit="1" customWidth="1"/>
    <col min="2" max="2" width="11" style="17" bestFit="1" customWidth="1"/>
    <col min="3" max="3" width="22.42578125" style="17" bestFit="1" customWidth="1"/>
    <col min="4" max="4" width="28.42578125" style="17" bestFit="1" customWidth="1"/>
    <col min="5" max="5" width="10" style="17" bestFit="1" customWidth="1"/>
    <col min="6" max="6" width="12.7109375" style="16" bestFit="1" customWidth="1"/>
    <col min="7" max="7" width="12.85546875" style="49" bestFit="1" customWidth="1"/>
    <col min="8" max="8" width="13.7109375" style="17" customWidth="1"/>
    <col min="9" max="9" width="12.140625" style="17" bestFit="1" customWidth="1"/>
    <col min="10" max="10" width="12" style="82" bestFit="1" customWidth="1"/>
    <col min="11" max="11" width="11.28515625" style="15" bestFit="1" customWidth="1"/>
    <col min="12" max="12" width="12.5703125" style="76" bestFit="1" customWidth="1"/>
    <col min="13" max="13" width="13.140625" style="16" bestFit="1" customWidth="1"/>
    <col min="14" max="14" width="9.5703125" style="17" bestFit="1" customWidth="1"/>
    <col min="15" max="16384" width="10.85546875" style="17"/>
  </cols>
  <sheetData>
    <row r="1" spans="1:20" s="28" customFormat="1">
      <c r="A1" s="245" t="s">
        <v>12</v>
      </c>
      <c r="C1" s="477">
        <v>20923029.034600001</v>
      </c>
      <c r="D1" s="252"/>
      <c r="E1" s="274"/>
      <c r="F1" s="71"/>
      <c r="G1" s="79"/>
      <c r="H1" s="26"/>
      <c r="I1" s="26"/>
      <c r="J1" s="80"/>
      <c r="K1" s="26"/>
      <c r="L1" s="71"/>
      <c r="M1" s="53"/>
      <c r="N1" s="246"/>
      <c r="O1" s="36"/>
      <c r="P1" s="10"/>
      <c r="Q1" s="10"/>
      <c r="R1" s="10"/>
      <c r="S1" s="10"/>
      <c r="T1" s="10"/>
    </row>
    <row r="2" spans="1:20" s="36" customFormat="1">
      <c r="A2" s="247" t="s">
        <v>72</v>
      </c>
      <c r="C2" s="43"/>
      <c r="D2" s="253"/>
      <c r="E2" s="43"/>
      <c r="G2" s="50"/>
      <c r="H2" s="34"/>
      <c r="I2" s="34"/>
      <c r="J2" s="81"/>
      <c r="K2" s="34"/>
      <c r="L2" s="72"/>
      <c r="M2" s="55"/>
      <c r="N2" s="102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0"/>
      <c r="H3" s="34"/>
      <c r="I3" s="34"/>
      <c r="J3" s="81"/>
      <c r="K3" s="34"/>
      <c r="L3" s="72"/>
      <c r="M3" s="55"/>
      <c r="N3" s="102"/>
      <c r="O3" s="36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72" t="s">
        <v>8</v>
      </c>
      <c r="H4" s="34" t="s">
        <v>14</v>
      </c>
      <c r="I4" s="34" t="s">
        <v>36</v>
      </c>
      <c r="J4" s="31" t="s">
        <v>4</v>
      </c>
      <c r="K4" s="34" t="s">
        <v>346</v>
      </c>
      <c r="L4" s="72" t="s">
        <v>28</v>
      </c>
      <c r="M4" s="55" t="s">
        <v>46</v>
      </c>
      <c r="N4" s="102" t="s">
        <v>23</v>
      </c>
      <c r="O4" s="36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72" t="s">
        <v>44</v>
      </c>
      <c r="H5" s="34" t="s">
        <v>9</v>
      </c>
      <c r="I5" s="34" t="s">
        <v>18</v>
      </c>
      <c r="J5" s="31" t="s">
        <v>44</v>
      </c>
      <c r="K5" s="34" t="s">
        <v>18</v>
      </c>
      <c r="L5" s="72" t="s">
        <v>44</v>
      </c>
      <c r="M5" s="55" t="s">
        <v>44</v>
      </c>
      <c r="N5" s="102" t="s">
        <v>5</v>
      </c>
      <c r="O5" s="36"/>
    </row>
    <row r="6" spans="1:20" s="36" customFormat="1" ht="12.75" thickBot="1">
      <c r="A6" s="275" t="s">
        <v>22</v>
      </c>
      <c r="B6" s="45"/>
      <c r="C6" s="45"/>
      <c r="D6" s="45"/>
      <c r="E6" s="45"/>
      <c r="F6" s="63"/>
      <c r="G6" s="86"/>
      <c r="H6" s="117"/>
      <c r="I6" s="117"/>
      <c r="J6" s="118"/>
      <c r="K6" s="117"/>
      <c r="L6" s="77"/>
      <c r="M6" s="63"/>
      <c r="N6" s="119"/>
    </row>
    <row r="7" spans="1:20" s="212" customFormat="1">
      <c r="A7" s="36">
        <v>4582</v>
      </c>
      <c r="B7" s="212" t="s">
        <v>86</v>
      </c>
      <c r="C7" s="212" t="s">
        <v>398</v>
      </c>
      <c r="D7" s="212" t="s">
        <v>485</v>
      </c>
      <c r="E7" s="212" t="s">
        <v>399</v>
      </c>
      <c r="F7" s="627">
        <v>16750000</v>
      </c>
      <c r="G7" s="627">
        <v>16750000</v>
      </c>
      <c r="H7" s="408">
        <v>42426</v>
      </c>
      <c r="I7" s="408">
        <f>H7+35</f>
        <v>42461</v>
      </c>
      <c r="J7" s="627">
        <v>16750000</v>
      </c>
      <c r="K7" s="408">
        <f>H7+180</f>
        <v>42606</v>
      </c>
      <c r="L7" s="627">
        <v>13000000</v>
      </c>
      <c r="M7" s="627">
        <f>J7-L7</f>
        <v>3750000</v>
      </c>
      <c r="N7" s="408">
        <v>42606</v>
      </c>
    </row>
    <row r="8" spans="1:20">
      <c r="B8" s="193"/>
      <c r="C8" s="219"/>
      <c r="D8" s="212"/>
      <c r="E8" s="129"/>
      <c r="F8" s="92"/>
      <c r="G8" s="92"/>
      <c r="H8" s="15"/>
      <c r="I8" s="34"/>
      <c r="J8" s="92"/>
      <c r="K8" s="34"/>
      <c r="L8" s="89"/>
      <c r="M8" s="89"/>
      <c r="N8" s="15"/>
    </row>
    <row r="9" spans="1:20">
      <c r="A9" s="52"/>
      <c r="B9" s="52"/>
      <c r="C9" s="40"/>
      <c r="D9" s="17" t="s">
        <v>19</v>
      </c>
      <c r="F9" s="572">
        <f>SUM(F7:F8)</f>
        <v>16750000</v>
      </c>
      <c r="G9" s="572">
        <f>SUM(G7:G8)</f>
        <v>16750000</v>
      </c>
      <c r="H9" s="14"/>
      <c r="I9" s="14"/>
      <c r="J9" s="572">
        <f>SUM(J7:J8)</f>
        <v>16750000</v>
      </c>
      <c r="K9" s="14"/>
      <c r="L9" s="572">
        <f>SUM(L7:L8)</f>
        <v>13000000</v>
      </c>
      <c r="M9" s="572">
        <f>SUM(M7:M8)</f>
        <v>3750000</v>
      </c>
    </row>
    <row r="10" spans="1:20">
      <c r="B10" s="52"/>
      <c r="F10" s="89"/>
    </row>
    <row r="11" spans="1:20">
      <c r="B11" s="52"/>
      <c r="D11" s="17" t="s">
        <v>45</v>
      </c>
      <c r="F11" s="89">
        <v>0</v>
      </c>
    </row>
    <row r="12" spans="1:20" ht="15">
      <c r="B12" s="52"/>
      <c r="L12" s="215"/>
    </row>
    <row r="13" spans="1:20">
      <c r="B13" s="52"/>
      <c r="D13" s="78" t="s">
        <v>10</v>
      </c>
      <c r="F13" s="95">
        <f>+C1-G9+M9</f>
        <v>7923029.0346000008</v>
      </c>
      <c r="G13" s="146" t="s">
        <v>570</v>
      </c>
    </row>
    <row r="14" spans="1:20">
      <c r="B14" s="52"/>
    </row>
    <row r="15" spans="1:20">
      <c r="C15" s="78"/>
      <c r="D15" s="78"/>
      <c r="E15" s="78"/>
      <c r="F15" s="42"/>
    </row>
    <row r="16" spans="1:20">
      <c r="A16" s="52"/>
      <c r="B16" s="52"/>
    </row>
    <row r="17" spans="1:7">
      <c r="C17" s="52"/>
      <c r="D17" s="52"/>
      <c r="E17" s="52"/>
      <c r="F17" s="52"/>
      <c r="G17" s="143"/>
    </row>
    <row r="18" spans="1:7">
      <c r="A18" s="137"/>
      <c r="B18" s="137"/>
    </row>
    <row r="19" spans="1:7">
      <c r="C19" s="137"/>
      <c r="D19" s="137"/>
      <c r="E19" s="137"/>
      <c r="F19" s="137"/>
      <c r="G19" s="207"/>
    </row>
    <row r="20" spans="1:7">
      <c r="A20" s="136"/>
      <c r="B20" s="136"/>
    </row>
    <row r="21" spans="1:7">
      <c r="C21" s="136"/>
      <c r="D21" s="240"/>
      <c r="E21" s="136"/>
      <c r="F21" s="136"/>
    </row>
    <row r="22" spans="1:7">
      <c r="A22" s="136"/>
      <c r="B22" s="136"/>
    </row>
    <row r="23" spans="1:7">
      <c r="C23" s="136"/>
      <c r="D23" s="136"/>
      <c r="E23" s="136"/>
      <c r="F23" s="136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2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12" sqref="G12"/>
    </sheetView>
  </sheetViews>
  <sheetFormatPr defaultColWidth="10.85546875" defaultRowHeight="12"/>
  <cols>
    <col min="1" max="1" width="13.42578125" style="17" bestFit="1" customWidth="1"/>
    <col min="2" max="2" width="7.85546875" style="17" bestFit="1" customWidth="1"/>
    <col min="3" max="3" width="21.5703125" style="17" customWidth="1"/>
    <col min="4" max="4" width="24.28515625" style="17" customWidth="1"/>
    <col min="5" max="5" width="8.5703125" style="17" customWidth="1"/>
    <col min="6" max="6" width="12.7109375" style="16" bestFit="1" customWidth="1"/>
    <col min="7" max="7" width="12" style="49" bestFit="1" customWidth="1"/>
    <col min="8" max="8" width="13.7109375" style="17" customWidth="1"/>
    <col min="9" max="9" width="12.140625" style="17" bestFit="1" customWidth="1"/>
    <col min="10" max="10" width="12" style="82" bestFit="1" customWidth="1"/>
    <col min="11" max="11" width="11.28515625" style="15" bestFit="1" customWidth="1"/>
    <col min="12" max="12" width="12.5703125" style="76" bestFit="1" customWidth="1"/>
    <col min="13" max="13" width="13.140625" style="16" bestFit="1" customWidth="1"/>
    <col min="14" max="14" width="9.5703125" style="17" bestFit="1" customWidth="1"/>
    <col min="15" max="16384" width="10.85546875" style="17"/>
  </cols>
  <sheetData>
    <row r="1" spans="1:20" s="28" customFormat="1">
      <c r="A1" s="245" t="s">
        <v>12</v>
      </c>
      <c r="C1" s="478">
        <v>14713253.037700001</v>
      </c>
      <c r="D1" s="252"/>
      <c r="E1" s="274"/>
      <c r="F1" s="71"/>
      <c r="G1" s="79"/>
      <c r="H1" s="26"/>
      <c r="I1" s="26"/>
      <c r="J1" s="80"/>
      <c r="K1" s="26"/>
      <c r="L1" s="71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73</v>
      </c>
      <c r="C2" s="43"/>
      <c r="D2" s="253"/>
      <c r="E2" s="43"/>
      <c r="G2" s="50"/>
      <c r="H2" s="34"/>
      <c r="I2" s="34"/>
      <c r="J2" s="81"/>
      <c r="K2" s="34"/>
      <c r="L2" s="72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0"/>
      <c r="H3" s="34"/>
      <c r="I3" s="34"/>
      <c r="J3" s="81"/>
      <c r="K3" s="34"/>
      <c r="L3" s="72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72" t="s">
        <v>8</v>
      </c>
      <c r="H4" s="34" t="s">
        <v>14</v>
      </c>
      <c r="I4" s="34" t="s">
        <v>36</v>
      </c>
      <c r="J4" s="31" t="s">
        <v>4</v>
      </c>
      <c r="K4" s="34" t="s">
        <v>346</v>
      </c>
      <c r="L4" s="72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72" t="s">
        <v>44</v>
      </c>
      <c r="H5" s="34" t="s">
        <v>9</v>
      </c>
      <c r="I5" s="34" t="s">
        <v>18</v>
      </c>
      <c r="J5" s="31" t="s">
        <v>44</v>
      </c>
      <c r="K5" s="34" t="s">
        <v>18</v>
      </c>
      <c r="L5" s="72" t="s">
        <v>44</v>
      </c>
      <c r="M5" s="55" t="s">
        <v>44</v>
      </c>
      <c r="N5" s="102" t="s">
        <v>5</v>
      </c>
    </row>
    <row r="6" spans="1:20" s="36" customFormat="1" ht="12.75" thickBot="1">
      <c r="A6" s="275" t="s">
        <v>22</v>
      </c>
      <c r="B6" s="45"/>
      <c r="C6" s="45"/>
      <c r="D6" s="45"/>
      <c r="E6" s="45"/>
      <c r="F6" s="63"/>
      <c r="G6" s="86"/>
      <c r="H6" s="117"/>
      <c r="I6" s="117"/>
      <c r="J6" s="118"/>
      <c r="K6" s="117"/>
      <c r="L6" s="77"/>
      <c r="M6" s="63"/>
      <c r="N6" s="119"/>
    </row>
    <row r="7" spans="1:20">
      <c r="B7" s="193"/>
      <c r="C7" s="219"/>
      <c r="D7" s="212"/>
      <c r="E7" s="129"/>
      <c r="F7" s="92"/>
      <c r="G7" s="92"/>
      <c r="H7" s="15"/>
      <c r="I7" s="34"/>
      <c r="J7" s="92"/>
      <c r="K7" s="34"/>
      <c r="L7" s="89"/>
      <c r="M7" s="89"/>
      <c r="N7" s="15"/>
    </row>
    <row r="8" spans="1:20">
      <c r="A8" s="52"/>
      <c r="B8" s="52"/>
      <c r="C8" s="40"/>
      <c r="D8" s="17" t="s">
        <v>19</v>
      </c>
      <c r="F8" s="121">
        <f>SUM(F7:F7)</f>
        <v>0</v>
      </c>
      <c r="G8" s="121">
        <f>SUM(G7:G7)</f>
        <v>0</v>
      </c>
      <c r="J8" s="121">
        <f>SUM(J7:J7)</f>
        <v>0</v>
      </c>
      <c r="L8" s="121">
        <f>SUM(L7:L7)</f>
        <v>0</v>
      </c>
      <c r="M8" s="121">
        <f>SUM(M7:M7)</f>
        <v>0</v>
      </c>
    </row>
    <row r="9" spans="1:20">
      <c r="B9" s="52"/>
      <c r="F9" s="89"/>
    </row>
    <row r="10" spans="1:20">
      <c r="B10" s="52"/>
      <c r="D10" s="17" t="s">
        <v>45</v>
      </c>
      <c r="F10" s="89">
        <v>0</v>
      </c>
    </row>
    <row r="11" spans="1:20" ht="15">
      <c r="B11" s="52"/>
      <c r="L11" s="215"/>
    </row>
    <row r="12" spans="1:20">
      <c r="B12" s="52"/>
      <c r="D12" s="78" t="s">
        <v>10</v>
      </c>
      <c r="F12" s="95">
        <f>+C1-G8+M8</f>
        <v>14713253.037700001</v>
      </c>
      <c r="G12" s="146" t="s">
        <v>570</v>
      </c>
    </row>
    <row r="13" spans="1:20">
      <c r="B13" s="52"/>
    </row>
    <row r="14" spans="1:20">
      <c r="C14" s="78"/>
      <c r="D14" s="78"/>
      <c r="E14" s="78"/>
      <c r="F14" s="42"/>
    </row>
    <row r="15" spans="1:20">
      <c r="A15" s="52"/>
      <c r="B15" s="52"/>
    </row>
    <row r="16" spans="1:20">
      <c r="C16" s="52"/>
      <c r="D16" s="52"/>
      <c r="E16" s="52"/>
      <c r="F16" s="52"/>
      <c r="G16" s="143"/>
    </row>
    <row r="17" spans="1:7">
      <c r="A17" s="137"/>
      <c r="B17" s="137"/>
    </row>
    <row r="18" spans="1:7">
      <c r="C18" s="137"/>
      <c r="D18" s="137"/>
      <c r="E18" s="137"/>
      <c r="F18" s="137"/>
      <c r="G18" s="207"/>
    </row>
    <row r="19" spans="1:7">
      <c r="A19" s="136"/>
      <c r="B19" s="136"/>
    </row>
    <row r="20" spans="1:7">
      <c r="C20" s="136"/>
      <c r="D20" s="240"/>
      <c r="E20" s="136"/>
      <c r="F20" s="136"/>
    </row>
    <row r="21" spans="1:7">
      <c r="A21" s="136"/>
      <c r="B21" s="136"/>
    </row>
    <row r="22" spans="1:7">
      <c r="C22" s="136"/>
      <c r="D22" s="136"/>
      <c r="E22" s="136"/>
      <c r="F22" s="136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T30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D27" sqref="D27"/>
    </sheetView>
  </sheetViews>
  <sheetFormatPr defaultColWidth="10.85546875" defaultRowHeight="12"/>
  <cols>
    <col min="1" max="1" width="14.42578125" style="17" bestFit="1" customWidth="1"/>
    <col min="2" max="2" width="11" style="17" bestFit="1" customWidth="1"/>
    <col min="3" max="3" width="43.42578125" style="17" bestFit="1" customWidth="1"/>
    <col min="4" max="4" width="26.7109375" style="17" bestFit="1" customWidth="1"/>
    <col min="5" max="5" width="10.85546875" style="17" bestFit="1" customWidth="1"/>
    <col min="6" max="6" width="12.85546875" style="16" bestFit="1" customWidth="1"/>
    <col min="7" max="7" width="12.85546875" style="49" bestFit="1" customWidth="1"/>
    <col min="8" max="8" width="13.7109375" style="17" customWidth="1"/>
    <col min="9" max="9" width="10.140625" style="17" bestFit="1" customWidth="1"/>
    <col min="10" max="10" width="12.5703125" style="82" bestFit="1" customWidth="1"/>
    <col min="11" max="11" width="11.42578125" style="15" bestFit="1" customWidth="1"/>
    <col min="12" max="12" width="12.5703125" style="76" bestFit="1" customWidth="1"/>
    <col min="13" max="13" width="13.140625" style="16" bestFit="1" customWidth="1"/>
    <col min="14" max="14" width="9.5703125" style="17" bestFit="1" customWidth="1"/>
    <col min="15" max="16384" width="10.85546875" style="17"/>
  </cols>
  <sheetData>
    <row r="1" spans="1:20" s="28" customFormat="1">
      <c r="A1" s="245" t="s">
        <v>12</v>
      </c>
      <c r="C1" s="477">
        <v>147244418.23280001</v>
      </c>
      <c r="D1" s="274"/>
      <c r="E1" s="274"/>
      <c r="F1" s="71"/>
      <c r="G1" s="79"/>
      <c r="H1" s="26"/>
      <c r="I1" s="26"/>
      <c r="J1" s="80"/>
      <c r="K1" s="26"/>
      <c r="L1" s="71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42</v>
      </c>
      <c r="C2" s="43"/>
      <c r="D2" s="253"/>
      <c r="E2" s="43"/>
      <c r="G2" s="50"/>
      <c r="H2" s="34"/>
      <c r="I2" s="34"/>
      <c r="J2" s="81"/>
      <c r="K2" s="34"/>
      <c r="L2" s="72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0"/>
      <c r="H3" s="34"/>
      <c r="I3" s="34"/>
      <c r="J3" s="81"/>
      <c r="K3" s="34"/>
      <c r="L3" s="72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72" t="s">
        <v>8</v>
      </c>
      <c r="H4" s="34" t="s">
        <v>14</v>
      </c>
      <c r="I4" s="34" t="s">
        <v>36</v>
      </c>
      <c r="J4" s="31" t="s">
        <v>4</v>
      </c>
      <c r="K4" s="34" t="s">
        <v>346</v>
      </c>
      <c r="L4" s="72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72" t="s">
        <v>44</v>
      </c>
      <c r="H5" s="34" t="s">
        <v>9</v>
      </c>
      <c r="I5" s="34" t="s">
        <v>18</v>
      </c>
      <c r="J5" s="31" t="s">
        <v>44</v>
      </c>
      <c r="K5" s="34" t="s">
        <v>18</v>
      </c>
      <c r="L5" s="72" t="s">
        <v>44</v>
      </c>
      <c r="M5" s="55" t="s">
        <v>44</v>
      </c>
      <c r="N5" s="102" t="s">
        <v>5</v>
      </c>
    </row>
    <row r="6" spans="1:20" s="36" customFormat="1" ht="12.75" thickBot="1">
      <c r="A6" s="275" t="s">
        <v>22</v>
      </c>
      <c r="B6" s="45"/>
      <c r="C6" s="45"/>
      <c r="D6" s="45"/>
      <c r="E6" s="45"/>
      <c r="F6" s="63"/>
      <c r="G6" s="86"/>
      <c r="H6" s="117"/>
      <c r="I6" s="117"/>
      <c r="J6" s="118"/>
      <c r="K6" s="117"/>
      <c r="L6" s="77"/>
      <c r="M6" s="63"/>
      <c r="N6" s="119"/>
    </row>
    <row r="7" spans="1:20">
      <c r="A7" s="17">
        <v>4536</v>
      </c>
      <c r="B7" s="36" t="s">
        <v>360</v>
      </c>
      <c r="C7" s="129" t="s">
        <v>286</v>
      </c>
      <c r="D7" s="52" t="s">
        <v>287</v>
      </c>
      <c r="E7" s="129" t="s">
        <v>288</v>
      </c>
      <c r="F7" s="92">
        <v>25000000</v>
      </c>
      <c r="G7" s="92">
        <v>25000000</v>
      </c>
      <c r="H7" s="15">
        <v>42370</v>
      </c>
      <c r="I7" s="34">
        <f t="shared" ref="I7:I12" si="0">H7+35</f>
        <v>42405</v>
      </c>
      <c r="J7" s="92">
        <v>25000000</v>
      </c>
      <c r="K7" s="34">
        <f t="shared" ref="K7:K12" si="1">H7+180</f>
        <v>42550</v>
      </c>
      <c r="L7" s="92"/>
      <c r="M7" s="92">
        <f t="shared" ref="M7:M12" si="2">J7-L7</f>
        <v>25000000</v>
      </c>
      <c r="N7" s="15">
        <v>42427</v>
      </c>
    </row>
    <row r="8" spans="1:20">
      <c r="A8" s="17">
        <v>4548</v>
      </c>
      <c r="B8" s="1" t="s">
        <v>86</v>
      </c>
      <c r="C8" s="129" t="s">
        <v>153</v>
      </c>
      <c r="D8" s="52" t="s">
        <v>308</v>
      </c>
      <c r="E8" s="129" t="s">
        <v>87</v>
      </c>
      <c r="F8" s="445">
        <v>32000000</v>
      </c>
      <c r="G8" s="445">
        <v>32000000</v>
      </c>
      <c r="H8" s="15">
        <v>42371</v>
      </c>
      <c r="I8" s="34">
        <f t="shared" si="0"/>
        <v>42406</v>
      </c>
      <c r="J8" s="445">
        <v>32000000</v>
      </c>
      <c r="K8" s="34">
        <f t="shared" si="1"/>
        <v>42551</v>
      </c>
      <c r="L8" s="92">
        <v>28750000</v>
      </c>
      <c r="M8" s="92">
        <f t="shared" si="2"/>
        <v>3250000</v>
      </c>
      <c r="N8" s="15">
        <v>42550</v>
      </c>
    </row>
    <row r="9" spans="1:20">
      <c r="A9" s="17">
        <v>4554</v>
      </c>
      <c r="B9" s="1" t="s">
        <v>395</v>
      </c>
      <c r="C9" s="129" t="s">
        <v>315</v>
      </c>
      <c r="D9" s="52" t="s">
        <v>316</v>
      </c>
      <c r="E9" s="129" t="s">
        <v>317</v>
      </c>
      <c r="F9" s="445">
        <v>33000000</v>
      </c>
      <c r="G9" s="445">
        <v>33000000</v>
      </c>
      <c r="H9" s="15">
        <v>42374</v>
      </c>
      <c r="I9" s="34">
        <f t="shared" si="0"/>
        <v>42409</v>
      </c>
      <c r="J9" s="445">
        <v>33000000</v>
      </c>
      <c r="K9" s="34">
        <f t="shared" si="1"/>
        <v>42554</v>
      </c>
      <c r="L9" s="92"/>
      <c r="M9" s="92">
        <f t="shared" si="2"/>
        <v>33000000</v>
      </c>
      <c r="N9" s="593">
        <v>42554</v>
      </c>
    </row>
    <row r="10" spans="1:20">
      <c r="A10" s="17">
        <v>4572</v>
      </c>
      <c r="B10" s="1" t="s">
        <v>360</v>
      </c>
      <c r="C10" s="129" t="s">
        <v>381</v>
      </c>
      <c r="D10" s="52" t="s">
        <v>380</v>
      </c>
      <c r="E10" s="129" t="s">
        <v>230</v>
      </c>
      <c r="F10" s="445">
        <v>20000000</v>
      </c>
      <c r="G10" s="445">
        <v>20000000</v>
      </c>
      <c r="H10" s="15">
        <v>42406</v>
      </c>
      <c r="I10" s="34">
        <f t="shared" si="0"/>
        <v>42441</v>
      </c>
      <c r="J10" s="445">
        <v>20000000</v>
      </c>
      <c r="K10" s="34">
        <f t="shared" si="1"/>
        <v>42586</v>
      </c>
      <c r="L10" s="92"/>
      <c r="M10" s="92">
        <f t="shared" si="2"/>
        <v>20000000</v>
      </c>
      <c r="N10" s="593">
        <v>42546</v>
      </c>
    </row>
    <row r="11" spans="1:20">
      <c r="A11" s="17">
        <v>4573</v>
      </c>
      <c r="B11" s="1" t="s">
        <v>86</v>
      </c>
      <c r="C11" s="129" t="s">
        <v>153</v>
      </c>
      <c r="D11" s="52" t="s">
        <v>382</v>
      </c>
      <c r="E11" s="129" t="s">
        <v>87</v>
      </c>
      <c r="F11" s="445">
        <v>30000000</v>
      </c>
      <c r="G11" s="445">
        <v>30000000</v>
      </c>
      <c r="H11" s="15">
        <v>42406</v>
      </c>
      <c r="I11" s="34">
        <f t="shared" si="0"/>
        <v>42441</v>
      </c>
      <c r="J11" s="445">
        <v>30000000</v>
      </c>
      <c r="K11" s="34">
        <f t="shared" si="1"/>
        <v>42586</v>
      </c>
      <c r="L11" s="445">
        <v>30000000</v>
      </c>
      <c r="M11" s="92">
        <f t="shared" si="2"/>
        <v>0</v>
      </c>
      <c r="N11" s="593">
        <v>42584</v>
      </c>
    </row>
    <row r="12" spans="1:20">
      <c r="A12" s="17">
        <v>4584</v>
      </c>
      <c r="B12" s="1" t="s">
        <v>86</v>
      </c>
      <c r="C12" s="129" t="s">
        <v>286</v>
      </c>
      <c r="D12" s="52" t="s">
        <v>287</v>
      </c>
      <c r="E12" s="129" t="s">
        <v>288</v>
      </c>
      <c r="F12" s="445">
        <v>25000000</v>
      </c>
      <c r="G12" s="445">
        <v>25000000</v>
      </c>
      <c r="H12" s="15">
        <v>42431</v>
      </c>
      <c r="I12" s="34">
        <f t="shared" si="0"/>
        <v>42466</v>
      </c>
      <c r="J12" s="445">
        <v>25000000</v>
      </c>
      <c r="K12" s="34">
        <f t="shared" si="1"/>
        <v>42611</v>
      </c>
      <c r="L12" s="92">
        <v>5000000</v>
      </c>
      <c r="M12" s="92">
        <f t="shared" si="2"/>
        <v>20000000</v>
      </c>
      <c r="N12" s="593">
        <v>42587</v>
      </c>
      <c r="O12" s="17" t="s">
        <v>481</v>
      </c>
    </row>
    <row r="13" spans="1:20" s="5" customFormat="1">
      <c r="B13" s="4"/>
      <c r="C13" s="61"/>
      <c r="D13" s="99"/>
      <c r="E13" s="61"/>
      <c r="F13" s="547"/>
      <c r="G13" s="547"/>
      <c r="H13" s="7"/>
      <c r="I13" s="9"/>
      <c r="J13" s="120"/>
      <c r="K13" s="9"/>
      <c r="L13" s="120"/>
      <c r="M13" s="120"/>
      <c r="N13" s="565"/>
    </row>
    <row r="14" spans="1:20">
      <c r="B14" s="129"/>
      <c r="C14" s="129"/>
      <c r="D14" s="52"/>
      <c r="E14" s="36"/>
      <c r="F14" s="92"/>
      <c r="G14" s="92"/>
      <c r="H14" s="15"/>
      <c r="I14" s="34"/>
      <c r="J14" s="41"/>
      <c r="K14" s="34"/>
      <c r="L14" s="92"/>
      <c r="M14" s="92"/>
      <c r="N14" s="15"/>
    </row>
    <row r="15" spans="1:20">
      <c r="A15" s="52"/>
      <c r="B15" s="52"/>
      <c r="C15" s="40"/>
      <c r="D15" s="17" t="s">
        <v>19</v>
      </c>
      <c r="F15" s="94">
        <f>SUM(F7:F14)</f>
        <v>165000000</v>
      </c>
      <c r="G15" s="94">
        <f>SUM(G7:G14)</f>
        <v>165000000</v>
      </c>
      <c r="J15" s="94">
        <f>SUM(J7:J14)</f>
        <v>165000000</v>
      </c>
      <c r="L15" s="94">
        <f>SUM(L7:L14)</f>
        <v>63750000</v>
      </c>
      <c r="M15" s="94">
        <f>SUM(M7:M14)</f>
        <v>101250000</v>
      </c>
    </row>
    <row r="16" spans="1:20">
      <c r="B16" s="52"/>
      <c r="F16" s="89"/>
    </row>
    <row r="17" spans="1:12" ht="15">
      <c r="B17" s="52"/>
      <c r="D17" s="17" t="s">
        <v>45</v>
      </c>
      <c r="F17" s="41">
        <f>F15-G15</f>
        <v>0</v>
      </c>
      <c r="L17" s="215"/>
    </row>
    <row r="18" spans="1:12">
      <c r="B18" s="52"/>
      <c r="D18" s="5"/>
      <c r="F18" s="103"/>
    </row>
    <row r="19" spans="1:12">
      <c r="B19" s="52"/>
      <c r="D19" s="5"/>
      <c r="F19" s="103"/>
    </row>
    <row r="20" spans="1:12">
      <c r="B20" s="52"/>
      <c r="D20" s="78" t="s">
        <v>10</v>
      </c>
      <c r="F20" s="95">
        <f>+C1-G15+M15+E24</f>
        <v>83494418.232800007</v>
      </c>
      <c r="G20" s="146" t="s">
        <v>570</v>
      </c>
    </row>
    <row r="21" spans="1:12">
      <c r="B21" s="52"/>
    </row>
    <row r="22" spans="1:12">
      <c r="C22" s="271"/>
      <c r="D22" s="271"/>
      <c r="E22" s="271"/>
      <c r="F22" s="42"/>
    </row>
    <row r="23" spans="1:12">
      <c r="A23" s="52"/>
      <c r="B23" s="52"/>
    </row>
    <row r="24" spans="1:12">
      <c r="C24" s="129"/>
      <c r="D24" s="52"/>
      <c r="E24" s="546"/>
      <c r="F24" s="357"/>
      <c r="G24" s="143"/>
      <c r="H24" s="15"/>
    </row>
    <row r="25" spans="1:12">
      <c r="A25" s="137"/>
      <c r="B25" s="137"/>
    </row>
    <row r="26" spans="1:12">
      <c r="C26" s="137"/>
      <c r="D26" s="137"/>
      <c r="E26" s="137"/>
      <c r="F26" s="137"/>
      <c r="G26" s="207"/>
    </row>
    <row r="27" spans="1:12">
      <c r="A27" s="136"/>
      <c r="B27" s="136"/>
    </row>
    <row r="28" spans="1:12">
      <c r="C28" s="136"/>
      <c r="D28" s="240"/>
      <c r="E28" s="136"/>
      <c r="F28" s="240"/>
    </row>
    <row r="29" spans="1:12">
      <c r="A29" s="136"/>
      <c r="B29" s="136"/>
    </row>
    <row r="30" spans="1:12">
      <c r="C30" s="136"/>
      <c r="D30" s="136"/>
      <c r="E30" s="136"/>
      <c r="F30" s="136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6"/>
  <sheetViews>
    <sheetView zoomScaleNormal="100" workbookViewId="0">
      <selection activeCell="G12" sqref="G12"/>
    </sheetView>
  </sheetViews>
  <sheetFormatPr defaultColWidth="10.85546875" defaultRowHeight="12"/>
  <cols>
    <col min="1" max="1" width="8.28515625" style="17" customWidth="1"/>
    <col min="2" max="2" width="7.85546875" style="17" bestFit="1" customWidth="1"/>
    <col min="3" max="3" width="16" style="17" bestFit="1" customWidth="1"/>
    <col min="4" max="4" width="17.42578125" style="17" customWidth="1"/>
    <col min="5" max="5" width="10.7109375" style="17" bestFit="1" customWidth="1"/>
    <col min="6" max="6" width="13" style="16" bestFit="1" customWidth="1"/>
    <col min="7" max="7" width="12.140625" style="42" bestFit="1" customWidth="1"/>
    <col min="8" max="8" width="13.7109375" style="17" customWidth="1"/>
    <col min="9" max="9" width="10.42578125" style="17" bestFit="1" customWidth="1"/>
    <col min="10" max="10" width="12.140625" style="42" bestFit="1" customWidth="1"/>
    <col min="11" max="11" width="9.7109375" style="17" bestFit="1" customWidth="1"/>
    <col min="12" max="12" width="12.5703125" style="16" bestFit="1" customWidth="1"/>
    <col min="13" max="13" width="12" style="16" bestFit="1" customWidth="1"/>
    <col min="14" max="14" width="12" style="17" bestFit="1" customWidth="1"/>
    <col min="15" max="16384" width="10.85546875" style="17"/>
  </cols>
  <sheetData>
    <row r="1" spans="1:20" s="28" customFormat="1">
      <c r="A1" s="245" t="s">
        <v>12</v>
      </c>
      <c r="B1" s="251"/>
      <c r="C1" s="71">
        <v>27244692.8873</v>
      </c>
      <c r="D1" s="252"/>
      <c r="E1" s="25"/>
      <c r="F1" s="53"/>
      <c r="G1" s="54"/>
      <c r="K1" s="26"/>
      <c r="L1" s="53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74</v>
      </c>
      <c r="C2" s="43"/>
      <c r="D2" s="253"/>
      <c r="E2" s="43"/>
      <c r="G2" s="56"/>
      <c r="K2" s="34"/>
      <c r="L2" s="55"/>
      <c r="M2" s="55"/>
      <c r="N2" s="102"/>
      <c r="O2" s="10"/>
      <c r="P2" s="10"/>
      <c r="Q2" s="10"/>
      <c r="R2" s="10"/>
      <c r="S2" s="10"/>
      <c r="T2" s="10"/>
    </row>
    <row r="3" spans="1:20" s="36" customFormat="1">
      <c r="A3" s="247"/>
      <c r="C3" s="43"/>
      <c r="D3" s="43"/>
      <c r="E3" s="43"/>
      <c r="F3" s="55"/>
      <c r="G3" s="126"/>
      <c r="K3" s="34"/>
      <c r="L3" s="55"/>
      <c r="M3" s="55"/>
      <c r="N3" s="102"/>
      <c r="O3" s="10"/>
      <c r="P3" s="10"/>
      <c r="Q3" s="10"/>
      <c r="R3" s="10"/>
      <c r="S3" s="10"/>
      <c r="T3" s="10"/>
    </row>
    <row r="4" spans="1:20">
      <c r="A4" s="248" t="s">
        <v>34</v>
      </c>
      <c r="B4" s="36"/>
      <c r="C4" s="36"/>
      <c r="D4" s="36"/>
      <c r="E4" s="36"/>
      <c r="F4" s="55"/>
      <c r="G4" s="56"/>
      <c r="H4" s="34"/>
      <c r="K4" s="34"/>
      <c r="L4" s="55"/>
      <c r="M4" s="254"/>
      <c r="N4" s="102" t="s">
        <v>23</v>
      </c>
      <c r="O4" s="10"/>
      <c r="P4" s="10"/>
      <c r="Q4" s="10"/>
      <c r="R4" s="10"/>
      <c r="S4" s="10"/>
      <c r="T4" s="10"/>
    </row>
    <row r="5" spans="1:20" s="5" customFormat="1">
      <c r="A5" s="248" t="s">
        <v>50</v>
      </c>
      <c r="B5" s="36" t="s">
        <v>39</v>
      </c>
      <c r="C5" s="36" t="s">
        <v>32</v>
      </c>
      <c r="D5" s="43" t="s">
        <v>51</v>
      </c>
      <c r="E5" s="36" t="s">
        <v>47</v>
      </c>
      <c r="F5" s="55" t="s">
        <v>24</v>
      </c>
      <c r="G5" s="56" t="s">
        <v>8</v>
      </c>
      <c r="H5" s="34" t="s">
        <v>14</v>
      </c>
      <c r="I5" s="34" t="s">
        <v>36</v>
      </c>
      <c r="J5" s="56" t="s">
        <v>4</v>
      </c>
      <c r="K5" s="34" t="s">
        <v>346</v>
      </c>
      <c r="L5" s="55" t="s">
        <v>28</v>
      </c>
      <c r="M5" s="55" t="s">
        <v>46</v>
      </c>
      <c r="N5" s="102" t="s">
        <v>5</v>
      </c>
      <c r="O5" s="10"/>
      <c r="P5" s="10"/>
      <c r="Q5" s="10"/>
      <c r="R5" s="10"/>
      <c r="S5" s="10"/>
      <c r="T5" s="10"/>
    </row>
    <row r="6" spans="1:20" s="10" customFormat="1" ht="12.75" thickBot="1">
      <c r="A6" s="249" t="s">
        <v>33</v>
      </c>
      <c r="B6" s="45"/>
      <c r="C6" s="45"/>
      <c r="D6" s="255"/>
      <c r="E6" s="255"/>
      <c r="F6" s="63" t="s">
        <v>44</v>
      </c>
      <c r="G6" s="250" t="s">
        <v>44</v>
      </c>
      <c r="H6" s="117" t="s">
        <v>9</v>
      </c>
      <c r="I6" s="117" t="s">
        <v>18</v>
      </c>
      <c r="J6" s="250" t="s">
        <v>44</v>
      </c>
      <c r="K6" s="117" t="s">
        <v>18</v>
      </c>
      <c r="L6" s="63" t="s">
        <v>44</v>
      </c>
      <c r="M6" s="63" t="s">
        <v>44</v>
      </c>
      <c r="N6" s="119" t="s">
        <v>9</v>
      </c>
    </row>
    <row r="7" spans="1:20">
      <c r="A7" s="36"/>
      <c r="B7" s="129"/>
      <c r="C7" s="219"/>
      <c r="D7" s="129"/>
      <c r="E7" s="129"/>
      <c r="F7" s="92"/>
      <c r="G7" s="92"/>
      <c r="H7" s="179"/>
      <c r="I7" s="147"/>
      <c r="J7" s="90"/>
      <c r="K7" s="147"/>
      <c r="L7" s="92"/>
      <c r="M7" s="92"/>
      <c r="N7" s="34"/>
      <c r="O7" s="36"/>
      <c r="P7" s="36"/>
      <c r="Q7" s="36"/>
      <c r="R7" s="36"/>
      <c r="S7" s="36"/>
      <c r="T7" s="36"/>
    </row>
    <row r="8" spans="1:20">
      <c r="A8" s="1"/>
      <c r="B8" s="1"/>
      <c r="C8" s="1"/>
      <c r="D8" s="17" t="s">
        <v>19</v>
      </c>
      <c r="F8" s="125">
        <f>SUM(F7:F7)</f>
        <v>0</v>
      </c>
      <c r="G8" s="125">
        <f>SUM(G7:G7)</f>
        <v>0</v>
      </c>
      <c r="H8" s="130"/>
      <c r="I8" s="130"/>
      <c r="J8" s="125">
        <f>SUM(J7:J7)</f>
        <v>0</v>
      </c>
      <c r="K8" s="130"/>
      <c r="L8" s="94">
        <f>SUM(L7:L7)</f>
        <v>0</v>
      </c>
      <c r="M8" s="94">
        <f>SUM(M7:M7)</f>
        <v>0</v>
      </c>
      <c r="N8" s="15"/>
      <c r="O8" s="1"/>
      <c r="P8" s="1"/>
      <c r="Q8" s="1"/>
      <c r="R8" s="1"/>
      <c r="S8" s="1"/>
      <c r="T8" s="1"/>
    </row>
    <row r="9" spans="1:20">
      <c r="A9" s="1"/>
      <c r="B9" s="1"/>
      <c r="C9" s="1"/>
      <c r="F9" s="89"/>
      <c r="G9" s="89"/>
    </row>
    <row r="10" spans="1:20">
      <c r="A10" s="1"/>
      <c r="B10" s="1"/>
      <c r="C10" s="1"/>
      <c r="D10" s="17" t="s">
        <v>45</v>
      </c>
      <c r="F10" s="91">
        <f>SUM(F8-G8)</f>
        <v>0</v>
      </c>
      <c r="G10" s="89"/>
    </row>
    <row r="11" spans="1:20">
      <c r="A11" s="129"/>
      <c r="B11" s="1"/>
      <c r="C11" s="1"/>
      <c r="F11" s="91"/>
      <c r="G11" s="89"/>
    </row>
    <row r="12" spans="1:20">
      <c r="A12" s="127"/>
      <c r="B12" s="40"/>
      <c r="C12" s="40"/>
      <c r="D12" s="78" t="s">
        <v>10</v>
      </c>
      <c r="F12" s="121">
        <f>+C1-G8+M8</f>
        <v>27244692.8873</v>
      </c>
      <c r="G12" s="146" t="s">
        <v>570</v>
      </c>
    </row>
    <row r="13" spans="1:20">
      <c r="A13" s="129"/>
      <c r="B13" s="40"/>
      <c r="C13" s="40"/>
      <c r="D13" s="40"/>
      <c r="E13" s="40"/>
      <c r="F13" s="113"/>
    </row>
    <row r="14" spans="1:20">
      <c r="F14" s="89"/>
    </row>
    <row r="15" spans="1:20">
      <c r="F15" s="89"/>
    </row>
    <row r="16" spans="1:20">
      <c r="F16" s="89"/>
    </row>
  </sheetData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T16"/>
  <sheetViews>
    <sheetView zoomScaleNormal="100" workbookViewId="0">
      <selection activeCell="C1" sqref="C1"/>
    </sheetView>
  </sheetViews>
  <sheetFormatPr defaultColWidth="10.85546875" defaultRowHeight="12"/>
  <cols>
    <col min="1" max="1" width="8.28515625" style="17" customWidth="1"/>
    <col min="2" max="2" width="7.85546875" style="17" bestFit="1" customWidth="1"/>
    <col min="3" max="3" width="16" style="17" bestFit="1" customWidth="1"/>
    <col min="4" max="4" width="17.42578125" style="17" customWidth="1"/>
    <col min="5" max="5" width="10.7109375" style="17" bestFit="1" customWidth="1"/>
    <col min="6" max="6" width="13" style="16" bestFit="1" customWidth="1"/>
    <col min="7" max="7" width="12.140625" style="42" bestFit="1" customWidth="1"/>
    <col min="8" max="8" width="13.7109375" style="17" customWidth="1"/>
    <col min="9" max="9" width="9.7109375" style="17" bestFit="1" customWidth="1"/>
    <col min="10" max="10" width="11.140625" style="42" bestFit="1" customWidth="1"/>
    <col min="11" max="11" width="9.7109375" style="17" bestFit="1" customWidth="1"/>
    <col min="12" max="12" width="12.5703125" style="16" bestFit="1" customWidth="1"/>
    <col min="13" max="13" width="12" style="16" bestFit="1" customWidth="1"/>
    <col min="14" max="14" width="12" style="17" bestFit="1" customWidth="1"/>
    <col min="15" max="16384" width="10.85546875" style="17"/>
  </cols>
  <sheetData>
    <row r="1" spans="1:20" s="28" customFormat="1">
      <c r="A1" s="245" t="s">
        <v>12</v>
      </c>
      <c r="B1" s="251"/>
      <c r="C1" s="71">
        <v>19916038.332400002</v>
      </c>
      <c r="D1" s="252"/>
      <c r="E1" s="25"/>
      <c r="F1" s="53"/>
      <c r="G1" s="54"/>
      <c r="K1" s="26"/>
      <c r="L1" s="53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68</v>
      </c>
      <c r="C2" s="43"/>
      <c r="D2" s="253"/>
      <c r="E2" s="43"/>
      <c r="G2" s="56"/>
      <c r="K2" s="34"/>
      <c r="L2" s="55"/>
      <c r="M2" s="55"/>
      <c r="N2" s="102"/>
      <c r="O2" s="10"/>
      <c r="P2" s="10"/>
      <c r="Q2" s="10"/>
      <c r="R2" s="10"/>
      <c r="S2" s="10"/>
      <c r="T2" s="10"/>
    </row>
    <row r="3" spans="1:20" s="36" customFormat="1">
      <c r="A3" s="247"/>
      <c r="C3" s="43"/>
      <c r="D3" s="43"/>
      <c r="E3" s="43"/>
      <c r="F3" s="55"/>
      <c r="G3" s="126"/>
      <c r="K3" s="34"/>
      <c r="L3" s="55"/>
      <c r="M3" s="55"/>
      <c r="N3" s="102"/>
      <c r="O3" s="10"/>
      <c r="P3" s="10"/>
      <c r="Q3" s="10"/>
      <c r="R3" s="10"/>
      <c r="S3" s="10"/>
      <c r="T3" s="10"/>
    </row>
    <row r="4" spans="1:20">
      <c r="A4" s="248" t="s">
        <v>34</v>
      </c>
      <c r="B4" s="36"/>
      <c r="C4" s="36"/>
      <c r="D4" s="36"/>
      <c r="E4" s="36"/>
      <c r="F4" s="55"/>
      <c r="G4" s="56"/>
      <c r="H4" s="34"/>
      <c r="K4" s="34"/>
      <c r="L4" s="55"/>
      <c r="M4" s="254"/>
      <c r="N4" s="102" t="s">
        <v>23</v>
      </c>
      <c r="O4" s="10"/>
      <c r="P4" s="10"/>
      <c r="Q4" s="10"/>
      <c r="R4" s="10"/>
      <c r="S4" s="10"/>
      <c r="T4" s="10"/>
    </row>
    <row r="5" spans="1:20" s="5" customFormat="1">
      <c r="A5" s="248" t="s">
        <v>50</v>
      </c>
      <c r="B5" s="36" t="s">
        <v>39</v>
      </c>
      <c r="C5" s="36" t="s">
        <v>32</v>
      </c>
      <c r="D5" s="43" t="s">
        <v>51</v>
      </c>
      <c r="E5" s="36" t="s">
        <v>47</v>
      </c>
      <c r="F5" s="55" t="s">
        <v>24</v>
      </c>
      <c r="G5" s="56" t="s">
        <v>8</v>
      </c>
      <c r="H5" s="34" t="s">
        <v>14</v>
      </c>
      <c r="I5" s="34" t="s">
        <v>36</v>
      </c>
      <c r="J5" s="56" t="s">
        <v>4</v>
      </c>
      <c r="K5" s="34" t="s">
        <v>346</v>
      </c>
      <c r="L5" s="55" t="s">
        <v>28</v>
      </c>
      <c r="M5" s="55" t="s">
        <v>46</v>
      </c>
      <c r="N5" s="102" t="s">
        <v>5</v>
      </c>
      <c r="O5" s="10"/>
      <c r="P5" s="10"/>
      <c r="Q5" s="10"/>
      <c r="R5" s="10"/>
      <c r="S5" s="10"/>
      <c r="T5" s="10"/>
    </row>
    <row r="6" spans="1:20" s="10" customFormat="1" ht="12.75" thickBot="1">
      <c r="A6" s="249" t="s">
        <v>33</v>
      </c>
      <c r="B6" s="45"/>
      <c r="C6" s="45"/>
      <c r="D6" s="255"/>
      <c r="E6" s="255"/>
      <c r="F6" s="63" t="s">
        <v>44</v>
      </c>
      <c r="G6" s="250" t="s">
        <v>44</v>
      </c>
      <c r="H6" s="117" t="s">
        <v>9</v>
      </c>
      <c r="I6" s="117" t="s">
        <v>18</v>
      </c>
      <c r="J6" s="250" t="s">
        <v>44</v>
      </c>
      <c r="K6" s="117" t="s">
        <v>18</v>
      </c>
      <c r="L6" s="63" t="s">
        <v>44</v>
      </c>
      <c r="M6" s="63" t="s">
        <v>44</v>
      </c>
      <c r="N6" s="119" t="s">
        <v>9</v>
      </c>
    </row>
    <row r="7" spans="1:20" s="201" customFormat="1" ht="12.75">
      <c r="A7" s="200"/>
      <c r="B7" s="290"/>
      <c r="C7" s="291"/>
      <c r="D7" s="290"/>
      <c r="E7" s="290"/>
      <c r="F7" s="292"/>
      <c r="G7" s="292"/>
      <c r="H7" s="293"/>
      <c r="I7" s="294"/>
      <c r="J7" s="292"/>
      <c r="K7" s="294"/>
      <c r="L7" s="292"/>
      <c r="M7" s="292"/>
      <c r="N7" s="199"/>
      <c r="O7" s="200"/>
      <c r="P7" s="200"/>
      <c r="Q7" s="200"/>
      <c r="R7" s="200"/>
      <c r="S7" s="200"/>
      <c r="T7" s="200"/>
    </row>
    <row r="8" spans="1:20">
      <c r="A8" s="1"/>
      <c r="B8" s="1"/>
      <c r="C8" s="1"/>
      <c r="D8" s="17" t="s">
        <v>19</v>
      </c>
      <c r="F8" s="125">
        <f>SUM(F7:F7)</f>
        <v>0</v>
      </c>
      <c r="G8" s="125">
        <f>SUM(G7:G7)</f>
        <v>0</v>
      </c>
      <c r="H8" s="130"/>
      <c r="I8" s="130"/>
      <c r="J8" s="125">
        <f>SUM(J7:J7)</f>
        <v>0</v>
      </c>
      <c r="K8" s="130"/>
      <c r="L8" s="94">
        <f>SUM(L7:L7)</f>
        <v>0</v>
      </c>
      <c r="M8" s="94">
        <f>SUM(M7:M7)</f>
        <v>0</v>
      </c>
      <c r="N8" s="15"/>
      <c r="O8" s="1"/>
      <c r="P8" s="1"/>
      <c r="Q8" s="1"/>
      <c r="R8" s="1"/>
      <c r="S8" s="1"/>
      <c r="T8" s="1"/>
    </row>
    <row r="9" spans="1:20">
      <c r="A9" s="1"/>
      <c r="B9" s="1"/>
      <c r="C9" s="1"/>
      <c r="F9" s="89"/>
      <c r="G9" s="89"/>
    </row>
    <row r="10" spans="1:20">
      <c r="A10" s="1"/>
      <c r="B10" s="1"/>
      <c r="C10" s="1"/>
      <c r="D10" s="17" t="s">
        <v>45</v>
      </c>
      <c r="F10" s="91">
        <f>SUM(F8-G8)</f>
        <v>0</v>
      </c>
      <c r="G10" s="89"/>
    </row>
    <row r="11" spans="1:20">
      <c r="A11" s="129"/>
      <c r="B11" s="1"/>
      <c r="C11" s="1"/>
      <c r="F11" s="91"/>
      <c r="G11" s="89"/>
    </row>
    <row r="12" spans="1:20">
      <c r="A12" s="127"/>
      <c r="B12" s="40"/>
      <c r="C12" s="40"/>
      <c r="D12" s="78" t="s">
        <v>10</v>
      </c>
      <c r="F12" s="121">
        <f>+C1-G8+M8</f>
        <v>19916038.332400002</v>
      </c>
      <c r="G12" s="146" t="s">
        <v>570</v>
      </c>
    </row>
    <row r="13" spans="1:20">
      <c r="A13" s="129"/>
      <c r="B13" s="40"/>
      <c r="C13" s="40"/>
      <c r="D13" s="40"/>
      <c r="E13" s="40"/>
      <c r="F13" s="113"/>
    </row>
    <row r="14" spans="1:20">
      <c r="F14" s="89"/>
    </row>
    <row r="15" spans="1:20">
      <c r="F15" s="89"/>
    </row>
    <row r="16" spans="1:20">
      <c r="F16" s="89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T3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A8" sqref="A8:XFD8"/>
    </sheetView>
  </sheetViews>
  <sheetFormatPr defaultColWidth="10.85546875" defaultRowHeight="12"/>
  <cols>
    <col min="1" max="1" width="9.7109375" style="17" customWidth="1"/>
    <col min="2" max="2" width="12.140625" style="17" customWidth="1"/>
    <col min="3" max="3" width="40.28515625" style="17" bestFit="1" customWidth="1"/>
    <col min="4" max="4" width="36.140625" style="17" bestFit="1" customWidth="1"/>
    <col min="5" max="5" width="12.42578125" style="17" bestFit="1" customWidth="1"/>
    <col min="6" max="6" width="16" style="16" bestFit="1" customWidth="1"/>
    <col min="7" max="7" width="16" style="42" bestFit="1" customWidth="1"/>
    <col min="8" max="8" width="14.42578125" style="17" bestFit="1" customWidth="1"/>
    <col min="9" max="9" width="9.7109375" style="17" bestFit="1" customWidth="1"/>
    <col min="10" max="10" width="16" style="41" bestFit="1" customWidth="1"/>
    <col min="11" max="11" width="11.28515625" style="17" bestFit="1" customWidth="1"/>
    <col min="12" max="12" width="12.5703125" style="76" bestFit="1" customWidth="1"/>
    <col min="13" max="13" width="12.5703125" style="16" bestFit="1" customWidth="1"/>
    <col min="14" max="14" width="9.42578125" style="17" bestFit="1" customWidth="1"/>
    <col min="15" max="15" width="12" style="17" bestFit="1" customWidth="1"/>
    <col min="16" max="16384" width="10.85546875" style="17"/>
  </cols>
  <sheetData>
    <row r="1" spans="1:20" s="28" customFormat="1">
      <c r="A1" s="245" t="s">
        <v>12</v>
      </c>
      <c r="C1" s="299">
        <v>130237464.1512</v>
      </c>
      <c r="D1" s="252"/>
      <c r="E1" s="25"/>
      <c r="F1" s="71"/>
      <c r="G1" s="54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41</v>
      </c>
      <c r="C2" s="43"/>
      <c r="D2" s="253"/>
      <c r="E2" s="43"/>
      <c r="G2" s="56"/>
      <c r="I2" s="34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31"/>
      <c r="K3" s="34"/>
      <c r="L3" s="72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31" t="s">
        <v>4</v>
      </c>
      <c r="K4" s="34" t="s">
        <v>346</v>
      </c>
      <c r="L4" s="72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31" t="s">
        <v>44</v>
      </c>
      <c r="K5" s="34" t="s">
        <v>18</v>
      </c>
      <c r="L5" s="72" t="s">
        <v>44</v>
      </c>
      <c r="M5" s="55" t="s">
        <v>44</v>
      </c>
      <c r="N5" s="102" t="s">
        <v>5</v>
      </c>
    </row>
    <row r="6" spans="1:20" s="5" customFormat="1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77"/>
      <c r="K6" s="117"/>
      <c r="L6" s="77"/>
      <c r="M6" s="63"/>
      <c r="N6" s="119" t="s">
        <v>9</v>
      </c>
      <c r="O6" s="10"/>
      <c r="P6" s="10"/>
      <c r="Q6" s="10"/>
      <c r="R6" s="10"/>
      <c r="S6" s="10"/>
      <c r="T6" s="10"/>
    </row>
    <row r="7" spans="1:20">
      <c r="A7" s="36">
        <v>4531</v>
      </c>
      <c r="B7" s="36" t="s">
        <v>360</v>
      </c>
      <c r="C7" s="129" t="s">
        <v>279</v>
      </c>
      <c r="D7" s="129" t="s">
        <v>280</v>
      </c>
      <c r="E7" s="129" t="s">
        <v>84</v>
      </c>
      <c r="F7" s="31">
        <v>51757647.585000001</v>
      </c>
      <c r="G7" s="31">
        <v>51757647.585000001</v>
      </c>
      <c r="H7" s="34">
        <v>42370</v>
      </c>
      <c r="I7" s="34">
        <f t="shared" ref="I7:I12" si="0">H7+35</f>
        <v>42405</v>
      </c>
      <c r="J7" s="31"/>
      <c r="K7" s="34">
        <f t="shared" ref="K7:K12" si="1">H7+180</f>
        <v>42550</v>
      </c>
      <c r="L7" s="72"/>
      <c r="M7" s="72">
        <f t="shared" ref="M7:M12" si="2">G7-L7</f>
        <v>51757647.585000001</v>
      </c>
      <c r="N7" s="34">
        <v>42404</v>
      </c>
      <c r="O7" s="36"/>
      <c r="P7" s="36"/>
      <c r="Q7" s="36"/>
      <c r="R7" s="36"/>
      <c r="S7" s="36"/>
      <c r="T7" s="36"/>
    </row>
    <row r="8" spans="1:20">
      <c r="A8" s="36">
        <v>4535</v>
      </c>
      <c r="B8" s="36" t="s">
        <v>86</v>
      </c>
      <c r="C8" s="129" t="s">
        <v>279</v>
      </c>
      <c r="D8" s="129" t="s">
        <v>285</v>
      </c>
      <c r="E8" s="129" t="s">
        <v>84</v>
      </c>
      <c r="F8" s="445">
        <v>23000000</v>
      </c>
      <c r="G8" s="445">
        <v>23000000</v>
      </c>
      <c r="H8" s="34">
        <v>42370</v>
      </c>
      <c r="I8" s="34">
        <f t="shared" si="0"/>
        <v>42405</v>
      </c>
      <c r="J8" s="445">
        <v>23000000</v>
      </c>
      <c r="K8" s="34">
        <f t="shared" si="1"/>
        <v>42550</v>
      </c>
      <c r="L8" s="72">
        <v>18500000</v>
      </c>
      <c r="M8" s="72">
        <f t="shared" si="2"/>
        <v>4500000</v>
      </c>
      <c r="N8" s="34">
        <v>42545</v>
      </c>
      <c r="O8" s="36"/>
      <c r="P8" s="36"/>
      <c r="Q8" s="36"/>
      <c r="R8" s="36"/>
      <c r="S8" s="36"/>
      <c r="T8" s="36"/>
    </row>
    <row r="9" spans="1:20">
      <c r="A9" s="36">
        <v>4542</v>
      </c>
      <c r="B9" s="36" t="s">
        <v>360</v>
      </c>
      <c r="C9" s="129" t="s">
        <v>279</v>
      </c>
      <c r="D9" s="129" t="s">
        <v>300</v>
      </c>
      <c r="E9" s="129" t="s">
        <v>84</v>
      </c>
      <c r="F9" s="445">
        <v>8000000</v>
      </c>
      <c r="G9" s="445">
        <v>8000000</v>
      </c>
      <c r="H9" s="34">
        <v>42371</v>
      </c>
      <c r="I9" s="34">
        <f t="shared" si="0"/>
        <v>42406</v>
      </c>
      <c r="J9" s="31"/>
      <c r="K9" s="34">
        <f t="shared" si="1"/>
        <v>42551</v>
      </c>
      <c r="L9" s="72"/>
      <c r="M9" s="72">
        <f t="shared" si="2"/>
        <v>8000000</v>
      </c>
      <c r="N9" s="34">
        <v>42404</v>
      </c>
      <c r="O9" s="36"/>
      <c r="P9" s="36"/>
      <c r="Q9" s="36"/>
      <c r="R9" s="36"/>
      <c r="S9" s="36"/>
      <c r="T9" s="36"/>
    </row>
    <row r="10" spans="1:20">
      <c r="A10" s="36">
        <v>4570</v>
      </c>
      <c r="B10" s="36" t="s">
        <v>360</v>
      </c>
      <c r="C10" s="129" t="s">
        <v>302</v>
      </c>
      <c r="D10" s="129" t="s">
        <v>379</v>
      </c>
      <c r="E10" s="129" t="s">
        <v>272</v>
      </c>
      <c r="F10" s="445">
        <v>50000000</v>
      </c>
      <c r="G10" s="445">
        <v>50000000</v>
      </c>
      <c r="H10" s="34">
        <v>42404</v>
      </c>
      <c r="I10" s="34">
        <f t="shared" si="0"/>
        <v>42439</v>
      </c>
      <c r="J10" s="445">
        <v>50000000</v>
      </c>
      <c r="K10" s="34">
        <f t="shared" si="1"/>
        <v>42584</v>
      </c>
      <c r="L10" s="445"/>
      <c r="M10" s="72">
        <f t="shared" si="2"/>
        <v>50000000</v>
      </c>
      <c r="N10" s="34">
        <v>42467</v>
      </c>
      <c r="O10" s="36"/>
      <c r="P10" s="36"/>
      <c r="Q10" s="36"/>
      <c r="R10" s="36"/>
      <c r="S10" s="36"/>
      <c r="T10" s="36"/>
    </row>
    <row r="11" spans="1:20">
      <c r="A11" s="36">
        <v>4571</v>
      </c>
      <c r="B11" s="36" t="s">
        <v>360</v>
      </c>
      <c r="C11" s="129" t="s">
        <v>302</v>
      </c>
      <c r="D11" s="129" t="s">
        <v>271</v>
      </c>
      <c r="E11" s="129" t="s">
        <v>272</v>
      </c>
      <c r="F11" s="445">
        <v>30000000</v>
      </c>
      <c r="G11" s="445">
        <v>30000000</v>
      </c>
      <c r="H11" s="34">
        <v>42404</v>
      </c>
      <c r="I11" s="34">
        <f t="shared" si="0"/>
        <v>42439</v>
      </c>
      <c r="J11" s="445">
        <v>30000000</v>
      </c>
      <c r="K11" s="34">
        <f t="shared" si="1"/>
        <v>42584</v>
      </c>
      <c r="L11" s="445"/>
      <c r="M11" s="72">
        <f t="shared" si="2"/>
        <v>30000000</v>
      </c>
      <c r="N11" s="34">
        <v>42467</v>
      </c>
      <c r="O11" s="36"/>
      <c r="P11" s="36"/>
      <c r="Q11" s="36"/>
      <c r="R11" s="36"/>
      <c r="S11" s="36"/>
      <c r="T11" s="36"/>
    </row>
    <row r="12" spans="1:20">
      <c r="A12" s="36">
        <v>4577</v>
      </c>
      <c r="B12" s="36" t="s">
        <v>86</v>
      </c>
      <c r="C12" s="129" t="s">
        <v>297</v>
      </c>
      <c r="D12" s="129" t="s">
        <v>331</v>
      </c>
      <c r="E12" s="129" t="s">
        <v>84</v>
      </c>
      <c r="F12" s="445">
        <v>14200000</v>
      </c>
      <c r="G12" s="445">
        <v>14200000</v>
      </c>
      <c r="H12" s="34">
        <v>42411</v>
      </c>
      <c r="I12" s="34">
        <f t="shared" si="0"/>
        <v>42446</v>
      </c>
      <c r="J12" s="31">
        <v>14200000</v>
      </c>
      <c r="K12" s="34">
        <f t="shared" si="1"/>
        <v>42591</v>
      </c>
      <c r="L12" s="72">
        <v>14200000</v>
      </c>
      <c r="M12" s="72">
        <f t="shared" si="2"/>
        <v>0</v>
      </c>
      <c r="N12" s="34">
        <v>42592</v>
      </c>
      <c r="O12" s="36"/>
      <c r="P12" s="36"/>
      <c r="Q12" s="36"/>
      <c r="R12" s="36"/>
      <c r="S12" s="36"/>
      <c r="T12" s="36"/>
    </row>
    <row r="13" spans="1:20" s="5" customFormat="1">
      <c r="A13" s="36" t="s">
        <v>337</v>
      </c>
      <c r="B13" s="36" t="s">
        <v>45</v>
      </c>
      <c r="C13" s="129" t="s">
        <v>334</v>
      </c>
      <c r="D13" s="129" t="s">
        <v>335</v>
      </c>
      <c r="E13" s="129" t="s">
        <v>336</v>
      </c>
      <c r="F13" s="445"/>
      <c r="G13" s="445"/>
      <c r="H13" s="34"/>
      <c r="I13" s="34"/>
      <c r="J13" s="31"/>
      <c r="K13" s="34"/>
      <c r="L13" s="72"/>
      <c r="M13" s="55"/>
      <c r="N13" s="34"/>
      <c r="O13" s="10"/>
      <c r="P13" s="10"/>
      <c r="Q13" s="10"/>
      <c r="R13" s="10"/>
      <c r="S13" s="10"/>
      <c r="T13" s="10"/>
    </row>
    <row r="14" spans="1:20" s="5" customFormat="1">
      <c r="A14" s="36" t="s">
        <v>405</v>
      </c>
      <c r="B14" s="36" t="s">
        <v>45</v>
      </c>
      <c r="C14" s="129" t="s">
        <v>297</v>
      </c>
      <c r="D14" s="129" t="s">
        <v>384</v>
      </c>
      <c r="E14" s="129" t="s">
        <v>84</v>
      </c>
      <c r="F14" s="445"/>
      <c r="G14" s="445"/>
      <c r="H14" s="34"/>
      <c r="I14" s="34"/>
      <c r="J14" s="31"/>
      <c r="K14" s="34"/>
      <c r="L14" s="72"/>
      <c r="M14" s="55"/>
      <c r="N14" s="34"/>
      <c r="O14" s="10"/>
      <c r="P14" s="10"/>
      <c r="Q14" s="10"/>
      <c r="R14" s="10"/>
      <c r="S14" s="10"/>
      <c r="T14" s="10"/>
    </row>
    <row r="15" spans="1:20" s="201" customFormat="1" ht="14.25" customHeight="1">
      <c r="A15" s="129"/>
      <c r="B15" s="36"/>
      <c r="C15" s="129"/>
      <c r="D15" s="129"/>
      <c r="E15" s="129"/>
      <c r="F15" s="396"/>
      <c r="G15" s="345"/>
      <c r="H15" s="346"/>
      <c r="I15" s="346"/>
      <c r="J15" s="345"/>
      <c r="K15" s="346"/>
      <c r="L15" s="295"/>
      <c r="M15" s="295"/>
      <c r="N15" s="202"/>
    </row>
    <row r="16" spans="1:20">
      <c r="D16" s="17" t="s">
        <v>19</v>
      </c>
      <c r="F16" s="472">
        <f>SUM(F7:F15)</f>
        <v>176957647.58500001</v>
      </c>
      <c r="G16" s="94">
        <f>SUM(G7:G15)</f>
        <v>176957647.58500001</v>
      </c>
      <c r="H16" s="15"/>
      <c r="I16" s="15"/>
      <c r="J16" s="94">
        <f>SUM(J7:J15)</f>
        <v>117200000</v>
      </c>
      <c r="K16" s="15"/>
      <c r="L16" s="94">
        <f>SUM(L7:L15)</f>
        <v>32700000</v>
      </c>
      <c r="M16" s="94">
        <f>SUM(M7:M15)</f>
        <v>144257647.58500001</v>
      </c>
    </row>
    <row r="17" spans="1:8">
      <c r="A17" s="36"/>
      <c r="F17" s="89"/>
    </row>
    <row r="18" spans="1:8">
      <c r="A18" s="36"/>
      <c r="D18" s="17" t="s">
        <v>45</v>
      </c>
      <c r="F18" s="76">
        <f>F16-G16</f>
        <v>0</v>
      </c>
    </row>
    <row r="20" spans="1:8">
      <c r="A20" s="1"/>
      <c r="C20" s="271"/>
      <c r="D20" s="271" t="s">
        <v>78</v>
      </c>
      <c r="F20" s="95">
        <f>+C1-G16+M16</f>
        <v>97537464.151199996</v>
      </c>
      <c r="G20" s="146" t="s">
        <v>570</v>
      </c>
    </row>
    <row r="22" spans="1:8">
      <c r="A22" s="5"/>
    </row>
    <row r="23" spans="1:8">
      <c r="A23" s="5"/>
    </row>
    <row r="24" spans="1:8">
      <c r="A24" s="5"/>
    </row>
    <row r="27" spans="1:8">
      <c r="H27" s="17" t="s">
        <v>7</v>
      </c>
    </row>
    <row r="32" spans="1:8">
      <c r="A32" s="52"/>
      <c r="B32" s="52"/>
      <c r="C32" s="52"/>
      <c r="D32" s="52"/>
      <c r="E32" s="52"/>
      <c r="F32" s="52"/>
    </row>
    <row r="35" spans="1:6">
      <c r="A35" s="52"/>
      <c r="B35" s="52"/>
      <c r="C35" s="52"/>
      <c r="D35" s="52"/>
      <c r="E35" s="52"/>
      <c r="F35" s="52"/>
    </row>
    <row r="37" spans="1:6">
      <c r="A37" s="52"/>
      <c r="B37" s="52"/>
      <c r="C37" s="52"/>
      <c r="D37" s="52"/>
      <c r="E37" s="52"/>
      <c r="F37" s="52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S32"/>
  <sheetViews>
    <sheetView zoomScaleNormal="100" workbookViewId="0">
      <selection activeCell="M10" sqref="M10"/>
    </sheetView>
  </sheetViews>
  <sheetFormatPr defaultColWidth="10.85546875" defaultRowHeight="12"/>
  <cols>
    <col min="1" max="1" width="14.5703125" style="17" customWidth="1"/>
    <col min="2" max="2" width="12.140625" style="17" bestFit="1" customWidth="1"/>
    <col min="3" max="3" width="40.85546875" style="17" customWidth="1"/>
    <col min="4" max="4" width="20.5703125" style="17" bestFit="1" customWidth="1"/>
    <col min="5" max="5" width="12.140625" style="17" bestFit="1" customWidth="1"/>
    <col min="6" max="6" width="13.140625" style="16" bestFit="1" customWidth="1"/>
    <col min="7" max="7" width="12.85546875" style="42" bestFit="1" customWidth="1"/>
    <col min="8" max="8" width="14.42578125" style="17" bestFit="1" customWidth="1"/>
    <col min="9" max="9" width="9.7109375" style="17" bestFit="1" customWidth="1"/>
    <col min="10" max="10" width="12" style="42" bestFit="1" customWidth="1"/>
    <col min="11" max="11" width="9.7109375" style="17" bestFit="1" customWidth="1"/>
    <col min="12" max="12" width="12.28515625" style="16" bestFit="1" customWidth="1"/>
    <col min="13" max="13" width="12.5703125" style="16" bestFit="1" customWidth="1"/>
    <col min="14" max="14" width="10.85546875" style="17" customWidth="1"/>
    <col min="15" max="15" width="14.42578125" style="17" bestFit="1" customWidth="1"/>
    <col min="16" max="16384" width="10.85546875" style="17"/>
  </cols>
  <sheetData>
    <row r="1" spans="1:19" s="28" customFormat="1">
      <c r="A1" s="245" t="s">
        <v>12</v>
      </c>
      <c r="B1" s="251"/>
      <c r="C1" s="71">
        <v>36139777.4234</v>
      </c>
      <c r="D1" s="252"/>
      <c r="E1" s="25"/>
      <c r="F1" s="71"/>
      <c r="G1" s="54"/>
      <c r="K1" s="26"/>
      <c r="L1" s="53"/>
      <c r="M1" s="53"/>
      <c r="N1" s="246"/>
      <c r="O1" s="36"/>
      <c r="P1" s="36"/>
      <c r="Q1" s="36"/>
      <c r="R1" s="36"/>
      <c r="S1" s="36"/>
    </row>
    <row r="2" spans="1:19" s="36" customFormat="1">
      <c r="A2" s="247" t="s">
        <v>11</v>
      </c>
      <c r="C2" s="43"/>
      <c r="D2" s="253"/>
      <c r="E2" s="43"/>
      <c r="G2" s="56"/>
      <c r="K2" s="34"/>
      <c r="L2" s="55"/>
      <c r="M2" s="55"/>
      <c r="N2" s="102"/>
    </row>
    <row r="3" spans="1:19" s="36" customFormat="1">
      <c r="A3" s="247"/>
      <c r="C3" s="43"/>
      <c r="D3" s="43"/>
      <c r="E3" s="43"/>
      <c r="F3" s="55"/>
      <c r="G3" s="126"/>
      <c r="K3" s="34"/>
      <c r="L3" s="55"/>
      <c r="M3" s="55"/>
      <c r="N3" s="102"/>
    </row>
    <row r="4" spans="1:19">
      <c r="A4" s="248" t="s">
        <v>34</v>
      </c>
      <c r="B4" s="36"/>
      <c r="C4" s="36"/>
      <c r="D4" s="36"/>
      <c r="E4" s="36"/>
      <c r="F4" s="55"/>
      <c r="G4" s="56"/>
      <c r="H4" s="34"/>
      <c r="K4" s="34"/>
      <c r="L4" s="55"/>
      <c r="M4" s="254"/>
      <c r="N4" s="102" t="s">
        <v>23</v>
      </c>
      <c r="O4" s="36"/>
      <c r="P4" s="36"/>
      <c r="Q4" s="36"/>
      <c r="R4" s="36"/>
      <c r="S4" s="36"/>
    </row>
    <row r="5" spans="1:19">
      <c r="A5" s="248" t="s">
        <v>50</v>
      </c>
      <c r="B5" s="36" t="s">
        <v>39</v>
      </c>
      <c r="C5" s="36" t="s">
        <v>32</v>
      </c>
      <c r="D5" s="43" t="s">
        <v>51</v>
      </c>
      <c r="E5" s="36" t="s">
        <v>47</v>
      </c>
      <c r="F5" s="55" t="s">
        <v>24</v>
      </c>
      <c r="G5" s="56" t="s">
        <v>8</v>
      </c>
      <c r="H5" s="34" t="s">
        <v>14</v>
      </c>
      <c r="I5" s="34" t="s">
        <v>36</v>
      </c>
      <c r="J5" s="56" t="s">
        <v>4</v>
      </c>
      <c r="K5" s="34" t="s">
        <v>346</v>
      </c>
      <c r="L5" s="55" t="s">
        <v>28</v>
      </c>
      <c r="M5" s="55" t="s">
        <v>46</v>
      </c>
      <c r="N5" s="102" t="s">
        <v>5</v>
      </c>
      <c r="O5" s="36"/>
      <c r="P5" s="36"/>
      <c r="Q5" s="36"/>
      <c r="R5" s="36"/>
      <c r="S5" s="36"/>
    </row>
    <row r="6" spans="1:19" s="36" customFormat="1" ht="13.5" customHeight="1" thickBot="1">
      <c r="A6" s="249" t="s">
        <v>33</v>
      </c>
      <c r="B6" s="45"/>
      <c r="C6" s="45"/>
      <c r="D6" s="255"/>
      <c r="E6" s="255"/>
      <c r="F6" s="63" t="s">
        <v>44</v>
      </c>
      <c r="G6" s="250" t="s">
        <v>44</v>
      </c>
      <c r="H6" s="117" t="s">
        <v>9</v>
      </c>
      <c r="I6" s="117" t="s">
        <v>18</v>
      </c>
      <c r="J6" s="250" t="s">
        <v>44</v>
      </c>
      <c r="K6" s="117" t="s">
        <v>18</v>
      </c>
      <c r="L6" s="63" t="s">
        <v>44</v>
      </c>
      <c r="M6" s="63" t="s">
        <v>44</v>
      </c>
      <c r="N6" s="119" t="s">
        <v>9</v>
      </c>
    </row>
    <row r="7" spans="1:19" s="36" customFormat="1" ht="13.5" customHeight="1">
      <c r="A7" s="52">
        <v>4539</v>
      </c>
      <c r="B7" s="1" t="s">
        <v>86</v>
      </c>
      <c r="C7" s="1" t="s">
        <v>290</v>
      </c>
      <c r="D7" s="1" t="s">
        <v>291</v>
      </c>
      <c r="E7" s="1" t="s">
        <v>83</v>
      </c>
      <c r="F7" s="589">
        <v>24000000</v>
      </c>
      <c r="G7" s="589">
        <v>24000000</v>
      </c>
      <c r="H7" s="34">
        <v>42370</v>
      </c>
      <c r="I7" s="34">
        <f>H7+35</f>
        <v>42405</v>
      </c>
      <c r="J7" s="445">
        <v>24000000</v>
      </c>
      <c r="K7" s="34">
        <f>H7+180</f>
        <v>42550</v>
      </c>
      <c r="L7" s="92">
        <v>7314000</v>
      </c>
      <c r="M7" s="31">
        <f>J7-L7</f>
        <v>16686000</v>
      </c>
      <c r="N7" s="34">
        <v>42545</v>
      </c>
      <c r="O7" s="36" t="s">
        <v>478</v>
      </c>
    </row>
    <row r="8" spans="1:19" s="36" customFormat="1" ht="13.5" customHeight="1">
      <c r="A8" s="595">
        <v>4562</v>
      </c>
      <c r="B8" s="444" t="s">
        <v>395</v>
      </c>
      <c r="C8" s="444" t="s">
        <v>292</v>
      </c>
      <c r="D8" s="444" t="s">
        <v>293</v>
      </c>
      <c r="E8" s="444" t="s">
        <v>83</v>
      </c>
      <c r="F8" s="570">
        <v>45000000</v>
      </c>
      <c r="G8" s="570">
        <v>45000000</v>
      </c>
      <c r="H8" s="34">
        <v>42382</v>
      </c>
      <c r="I8" s="34">
        <f>H8+35</f>
        <v>42417</v>
      </c>
      <c r="J8" s="31"/>
      <c r="K8" s="34">
        <f>H8+180</f>
        <v>42562</v>
      </c>
      <c r="L8" s="92"/>
      <c r="M8" s="570">
        <f>G8-L8</f>
        <v>45000000</v>
      </c>
      <c r="N8" s="34">
        <v>42418</v>
      </c>
    </row>
    <row r="9" spans="1:19" s="36" customFormat="1" ht="13.5" customHeight="1">
      <c r="A9" s="129" t="s">
        <v>325</v>
      </c>
      <c r="B9" s="444" t="s">
        <v>45</v>
      </c>
      <c r="C9" s="129" t="s">
        <v>324</v>
      </c>
      <c r="D9" s="129" t="s">
        <v>262</v>
      </c>
      <c r="E9" s="129" t="s">
        <v>83</v>
      </c>
      <c r="F9" s="445"/>
      <c r="G9" s="445"/>
      <c r="H9" s="34"/>
      <c r="I9" s="34"/>
      <c r="J9" s="31"/>
      <c r="K9" s="34"/>
      <c r="L9" s="92"/>
      <c r="M9" s="92"/>
      <c r="N9" s="34"/>
      <c r="O9" s="129"/>
    </row>
    <row r="10" spans="1:19" s="36" customFormat="1" ht="13.5" customHeight="1">
      <c r="A10" s="129">
        <v>4583</v>
      </c>
      <c r="B10" s="444" t="s">
        <v>86</v>
      </c>
      <c r="C10" s="444" t="s">
        <v>292</v>
      </c>
      <c r="D10" s="129" t="s">
        <v>251</v>
      </c>
      <c r="E10" s="129" t="s">
        <v>151</v>
      </c>
      <c r="F10" s="445">
        <v>50000000</v>
      </c>
      <c r="G10" s="445">
        <v>50000000</v>
      </c>
      <c r="H10" s="34">
        <v>42426</v>
      </c>
      <c r="I10" s="34">
        <f>H10+35</f>
        <v>42461</v>
      </c>
      <c r="J10" s="445">
        <v>50000000</v>
      </c>
      <c r="K10" s="34">
        <f>H10+180</f>
        <v>42606</v>
      </c>
      <c r="L10" s="561"/>
      <c r="M10" s="570">
        <f>J10-L10</f>
        <v>50000000</v>
      </c>
      <c r="N10" s="34">
        <v>42530</v>
      </c>
      <c r="O10" s="129"/>
    </row>
    <row r="11" spans="1:19" s="36" customFormat="1" ht="13.5" customHeight="1">
      <c r="A11" s="129" t="s">
        <v>327</v>
      </c>
      <c r="B11" s="444" t="s">
        <v>45</v>
      </c>
      <c r="C11" s="129" t="s">
        <v>324</v>
      </c>
      <c r="D11" s="129" t="s">
        <v>329</v>
      </c>
      <c r="E11" s="129" t="s">
        <v>83</v>
      </c>
      <c r="F11" s="445"/>
      <c r="G11" s="445"/>
      <c r="H11" s="34"/>
      <c r="I11" s="34"/>
      <c r="J11" s="31"/>
      <c r="K11" s="34"/>
      <c r="L11" s="92"/>
      <c r="M11" s="92"/>
      <c r="N11" s="34"/>
      <c r="O11" s="129"/>
    </row>
    <row r="12" spans="1:19" s="36" customFormat="1" ht="13.5" customHeight="1">
      <c r="A12" s="129" t="s">
        <v>328</v>
      </c>
      <c r="B12" s="444" t="s">
        <v>45</v>
      </c>
      <c r="C12" s="444" t="s">
        <v>292</v>
      </c>
      <c r="D12" s="129" t="s">
        <v>330</v>
      </c>
      <c r="E12" s="129" t="s">
        <v>151</v>
      </c>
      <c r="F12" s="445"/>
      <c r="G12" s="445"/>
      <c r="H12" s="34"/>
      <c r="I12" s="34"/>
      <c r="J12" s="31"/>
      <c r="K12" s="34"/>
      <c r="L12" s="92"/>
      <c r="M12" s="92"/>
      <c r="N12" s="34"/>
      <c r="O12" s="129"/>
    </row>
    <row r="13" spans="1:19" s="36" customFormat="1" ht="13.5" customHeight="1">
      <c r="A13" s="129" t="s">
        <v>361</v>
      </c>
      <c r="B13" s="444" t="s">
        <v>45</v>
      </c>
      <c r="C13" s="444" t="s">
        <v>292</v>
      </c>
      <c r="D13" s="129" t="s">
        <v>332</v>
      </c>
      <c r="E13" s="212" t="s">
        <v>159</v>
      </c>
      <c r="F13" s="412"/>
      <c r="G13" s="412"/>
      <c r="H13" s="34"/>
      <c r="I13" s="34"/>
      <c r="J13" s="31"/>
      <c r="K13" s="34"/>
      <c r="L13" s="92"/>
      <c r="M13" s="92"/>
      <c r="N13" s="34"/>
      <c r="O13" s="129"/>
    </row>
    <row r="14" spans="1:19" s="36" customFormat="1" ht="13.5" customHeight="1">
      <c r="A14" s="129" t="s">
        <v>386</v>
      </c>
      <c r="B14" s="444" t="s">
        <v>45</v>
      </c>
      <c r="C14" s="129" t="s">
        <v>324</v>
      </c>
      <c r="D14" s="129" t="s">
        <v>387</v>
      </c>
      <c r="E14" s="212" t="s">
        <v>388</v>
      </c>
      <c r="F14" s="412"/>
      <c r="G14" s="396"/>
      <c r="H14" s="34"/>
      <c r="I14" s="34"/>
      <c r="J14" s="31"/>
      <c r="K14" s="34"/>
      <c r="L14" s="92"/>
      <c r="M14" s="92"/>
      <c r="N14" s="34"/>
      <c r="O14" s="129"/>
    </row>
    <row r="15" spans="1:19" s="36" customFormat="1" ht="11.25" customHeight="1">
      <c r="B15" s="52"/>
      <c r="C15" s="1"/>
      <c r="D15" s="1"/>
      <c r="E15" s="1"/>
      <c r="F15" s="13"/>
      <c r="G15" s="13"/>
      <c r="H15" s="15"/>
      <c r="I15" s="147"/>
      <c r="J15" s="13"/>
      <c r="K15" s="147"/>
      <c r="L15" s="92"/>
      <c r="M15" s="89"/>
      <c r="N15" s="15"/>
    </row>
    <row r="16" spans="1:19">
      <c r="A16" s="1"/>
      <c r="B16" s="1"/>
      <c r="C16" s="1"/>
      <c r="D16" s="17" t="s">
        <v>19</v>
      </c>
      <c r="F16" s="95">
        <f>SUM(F7:F15)</f>
        <v>119000000</v>
      </c>
      <c r="G16" s="95">
        <f>SUM(G7:G15)</f>
        <v>119000000</v>
      </c>
      <c r="H16" s="14"/>
      <c r="I16" s="14"/>
      <c r="J16" s="95">
        <f>SUM(J7:J15)</f>
        <v>74000000</v>
      </c>
      <c r="K16" s="14"/>
      <c r="L16" s="95">
        <f>SUM(L7:L15)</f>
        <v>7314000</v>
      </c>
      <c r="M16" s="95">
        <f>SUM(M7:M15)</f>
        <v>111686000</v>
      </c>
      <c r="N16" s="14"/>
      <c r="O16" s="1"/>
      <c r="P16" s="1"/>
      <c r="Q16" s="1"/>
      <c r="R16" s="1"/>
      <c r="S16" s="1"/>
    </row>
    <row r="17" spans="1:11">
      <c r="A17" s="1"/>
      <c r="B17" s="1"/>
      <c r="C17" s="1"/>
      <c r="F17" s="89"/>
      <c r="G17" s="89"/>
    </row>
    <row r="18" spans="1:11">
      <c r="A18" s="1"/>
      <c r="B18" s="1"/>
      <c r="C18" s="1"/>
      <c r="D18" s="17" t="s">
        <v>45</v>
      </c>
      <c r="F18" s="91">
        <f>F16-G16</f>
        <v>0</v>
      </c>
      <c r="G18" s="89"/>
    </row>
    <row r="19" spans="1:11">
      <c r="A19" s="129"/>
      <c r="B19" s="1"/>
      <c r="C19" s="1"/>
      <c r="F19" s="91"/>
      <c r="G19" s="89"/>
    </row>
    <row r="20" spans="1:11">
      <c r="A20" s="127"/>
      <c r="B20" s="40"/>
      <c r="C20" s="40"/>
      <c r="D20" s="271" t="s">
        <v>10</v>
      </c>
      <c r="F20" s="121">
        <f>+C1-G16+M16+E23</f>
        <v>28825777.4234</v>
      </c>
      <c r="G20" s="146" t="s">
        <v>570</v>
      </c>
      <c r="J20" s="286"/>
      <c r="K20" s="15"/>
    </row>
    <row r="21" spans="1:11">
      <c r="A21" s="129"/>
      <c r="B21" s="40"/>
      <c r="C21" s="40"/>
      <c r="D21" s="40"/>
      <c r="E21" s="40"/>
      <c r="F21" s="113"/>
    </row>
    <row r="22" spans="1:11">
      <c r="C22" s="444"/>
      <c r="D22" s="315"/>
    </row>
    <row r="23" spans="1:11">
      <c r="E23" s="98"/>
    </row>
    <row r="24" spans="1:11">
      <c r="F24" s="85"/>
      <c r="G24" s="85"/>
    </row>
    <row r="25" spans="1:11">
      <c r="G25" s="41"/>
    </row>
    <row r="32" spans="1:11">
      <c r="H32" s="17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5"/>
  <sheetViews>
    <sheetView zoomScaleNormal="100" workbookViewId="0">
      <selection activeCell="G12" sqref="G12"/>
    </sheetView>
  </sheetViews>
  <sheetFormatPr defaultColWidth="10.85546875" defaultRowHeight="12"/>
  <cols>
    <col min="1" max="1" width="14.42578125" style="17" bestFit="1" customWidth="1"/>
    <col min="2" max="2" width="7.85546875" style="17" bestFit="1" customWidth="1"/>
    <col min="3" max="3" width="20.5703125" style="17" customWidth="1"/>
    <col min="4" max="4" width="15.5703125" style="17" customWidth="1"/>
    <col min="5" max="5" width="10" style="17" bestFit="1" customWidth="1"/>
    <col min="6" max="6" width="16" style="16" bestFit="1" customWidth="1"/>
    <col min="7" max="7" width="16" style="42" bestFit="1" customWidth="1"/>
    <col min="8" max="8" width="13.7109375" style="17" customWidth="1"/>
    <col min="9" max="9" width="9.7109375" style="17" bestFit="1" customWidth="1"/>
    <col min="10" max="10" width="16" style="42" bestFit="1" customWidth="1"/>
    <col min="11" max="11" width="11" style="17" bestFit="1" customWidth="1"/>
    <col min="12" max="12" width="12.85546875" style="67" bestFit="1" customWidth="1"/>
    <col min="13" max="13" width="12" style="16" bestFit="1" customWidth="1"/>
    <col min="14" max="14" width="12.42578125" style="17" bestFit="1" customWidth="1"/>
    <col min="15" max="15" width="7" style="17" bestFit="1" customWidth="1"/>
    <col min="16" max="16384" width="10.85546875" style="17"/>
  </cols>
  <sheetData>
    <row r="1" spans="1:20" s="28" customFormat="1">
      <c r="A1" s="245" t="s">
        <v>12</v>
      </c>
      <c r="C1" s="25">
        <v>25846094.689799998</v>
      </c>
      <c r="D1" s="25"/>
      <c r="E1" s="25"/>
      <c r="F1" s="53"/>
      <c r="G1" s="54"/>
      <c r="H1" s="26"/>
      <c r="I1" s="26"/>
      <c r="J1" s="54"/>
      <c r="K1" s="26"/>
      <c r="L1" s="65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77</v>
      </c>
      <c r="C2" s="43"/>
      <c r="D2" s="43"/>
      <c r="E2" s="43"/>
      <c r="F2" s="55"/>
      <c r="G2" s="56"/>
      <c r="H2" s="34"/>
      <c r="I2" s="34"/>
      <c r="J2" s="56"/>
      <c r="K2" s="34"/>
      <c r="L2" s="66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56"/>
      <c r="K3" s="34"/>
      <c r="L3" s="66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56" t="s">
        <v>4</v>
      </c>
      <c r="K4" s="34" t="s">
        <v>346</v>
      </c>
      <c r="L4" s="55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56" t="s">
        <v>44</v>
      </c>
      <c r="K5" s="34" t="s">
        <v>18</v>
      </c>
      <c r="L5" s="55" t="s">
        <v>44</v>
      </c>
      <c r="M5" s="55" t="s">
        <v>44</v>
      </c>
      <c r="N5" s="102" t="s">
        <v>5</v>
      </c>
    </row>
    <row r="6" spans="1:20" s="5" customFormat="1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50"/>
      <c r="K6" s="117"/>
      <c r="L6" s="276"/>
      <c r="M6" s="63"/>
      <c r="N6" s="119" t="s">
        <v>9</v>
      </c>
      <c r="O6" s="10"/>
      <c r="P6" s="10"/>
      <c r="Q6" s="10"/>
      <c r="R6" s="10"/>
      <c r="S6" s="10"/>
      <c r="T6" s="10"/>
    </row>
    <row r="7" spans="1:20">
      <c r="A7" s="36"/>
      <c r="B7" s="129"/>
      <c r="C7" s="219"/>
      <c r="D7" s="212"/>
      <c r="E7" s="129"/>
      <c r="F7" s="92"/>
      <c r="G7" s="92"/>
      <c r="H7" s="179"/>
      <c r="I7" s="216"/>
      <c r="J7" s="92"/>
      <c r="K7" s="176"/>
      <c r="L7" s="92"/>
      <c r="M7" s="92"/>
      <c r="N7" s="34"/>
      <c r="O7" s="36"/>
      <c r="P7" s="36"/>
      <c r="Q7" s="36"/>
      <c r="R7" s="36"/>
      <c r="S7" s="36"/>
      <c r="T7" s="36"/>
    </row>
    <row r="8" spans="1:20" s="11" customFormat="1">
      <c r="A8" s="17"/>
      <c r="B8" s="17"/>
      <c r="C8" s="40"/>
      <c r="D8" s="17" t="s">
        <v>19</v>
      </c>
      <c r="E8" s="17"/>
      <c r="F8" s="95">
        <f>SUM(F7:F7)</f>
        <v>0</v>
      </c>
      <c r="G8" s="112">
        <f>SUM(G7:G7)</f>
        <v>0</v>
      </c>
      <c r="H8" s="15"/>
      <c r="I8" s="15"/>
      <c r="J8" s="112">
        <f>SUM(J7:J7)</f>
        <v>0</v>
      </c>
      <c r="K8" s="15"/>
      <c r="L8" s="123">
        <f>SUM(L7:L7)</f>
        <v>0</v>
      </c>
      <c r="M8" s="123">
        <f>SUM(M7:M7)</f>
        <v>0</v>
      </c>
      <c r="N8" s="15"/>
    </row>
    <row r="9" spans="1:20">
      <c r="F9" s="41"/>
      <c r="G9" s="14"/>
      <c r="H9" s="15"/>
      <c r="I9" s="15"/>
      <c r="J9" s="14"/>
      <c r="K9" s="15"/>
      <c r="L9" s="68"/>
      <c r="M9" s="68"/>
      <c r="N9" s="15"/>
      <c r="O9" s="1"/>
      <c r="P9" s="1"/>
      <c r="Q9" s="1"/>
      <c r="R9" s="1"/>
      <c r="S9" s="1"/>
      <c r="T9" s="1"/>
    </row>
    <row r="10" spans="1:20">
      <c r="D10" s="17" t="s">
        <v>45</v>
      </c>
      <c r="F10" s="41">
        <v>0</v>
      </c>
      <c r="G10" s="139"/>
      <c r="H10" s="15"/>
      <c r="I10" s="15"/>
      <c r="J10" s="14"/>
      <c r="K10" s="15"/>
      <c r="L10" s="68"/>
      <c r="M10" s="68"/>
      <c r="N10" s="15"/>
      <c r="O10" s="1"/>
      <c r="P10" s="1"/>
      <c r="Q10" s="1"/>
      <c r="R10" s="1"/>
      <c r="S10" s="1"/>
      <c r="T10" s="1"/>
    </row>
    <row r="11" spans="1:20">
      <c r="G11" s="64"/>
      <c r="H11" s="15"/>
      <c r="I11" s="15"/>
      <c r="J11" s="64"/>
      <c r="K11" s="15"/>
      <c r="N11" s="15"/>
      <c r="O11" s="1"/>
      <c r="P11" s="1"/>
      <c r="Q11" s="1"/>
      <c r="R11" s="1"/>
      <c r="S11" s="1"/>
      <c r="T11" s="1"/>
    </row>
    <row r="12" spans="1:20">
      <c r="D12" s="271" t="s">
        <v>10</v>
      </c>
      <c r="F12" s="95">
        <f>SUM(C1-G8+M8)</f>
        <v>25846094.689799998</v>
      </c>
      <c r="G12" s="146" t="s">
        <v>570</v>
      </c>
      <c r="H12" s="15"/>
      <c r="I12" s="15"/>
      <c r="J12" s="64"/>
      <c r="K12" s="15"/>
      <c r="N12" s="15"/>
      <c r="O12" s="1"/>
      <c r="P12" s="1"/>
      <c r="Q12" s="1"/>
      <c r="R12" s="1"/>
      <c r="S12" s="1"/>
      <c r="T12" s="1"/>
    </row>
    <row r="13" spans="1:20">
      <c r="F13" s="89"/>
    </row>
    <row r="14" spans="1:20">
      <c r="C14" s="36"/>
      <c r="D14" s="10"/>
      <c r="E14" s="36"/>
      <c r="F14" s="92"/>
    </row>
    <row r="15" spans="1:20">
      <c r="C15" s="36"/>
      <c r="D15" s="36"/>
      <c r="E15" s="36"/>
      <c r="F15" s="92"/>
    </row>
    <row r="16" spans="1:20">
      <c r="C16" s="36"/>
      <c r="D16" s="36"/>
      <c r="E16" s="36"/>
      <c r="F16" s="92"/>
    </row>
    <row r="17" spans="6:6">
      <c r="F17" s="89"/>
    </row>
    <row r="18" spans="6:6">
      <c r="F18" s="89"/>
    </row>
    <row r="19" spans="6:6">
      <c r="F19" s="89"/>
    </row>
    <row r="20" spans="6:6">
      <c r="F20" s="89"/>
    </row>
    <row r="21" spans="6:6">
      <c r="F21" s="89"/>
    </row>
    <row r="22" spans="6:6">
      <c r="F22" s="89"/>
    </row>
    <row r="23" spans="6:6">
      <c r="F23" s="89"/>
    </row>
    <row r="24" spans="6:6">
      <c r="F24" s="89"/>
    </row>
    <row r="25" spans="6:6">
      <c r="F25" s="89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T31"/>
  <sheetViews>
    <sheetView zoomScaleNormal="100" workbookViewId="0">
      <selection activeCell="L8" sqref="L8"/>
    </sheetView>
  </sheetViews>
  <sheetFormatPr defaultColWidth="10.85546875" defaultRowHeight="12"/>
  <cols>
    <col min="1" max="1" width="8.28515625" style="17" customWidth="1"/>
    <col min="2" max="2" width="11" style="17" bestFit="1" customWidth="1"/>
    <col min="3" max="3" width="41.28515625" style="17" bestFit="1" customWidth="1"/>
    <col min="4" max="4" width="27.28515625" style="17" bestFit="1" customWidth="1"/>
    <col min="5" max="5" width="13.5703125" style="17" customWidth="1"/>
    <col min="6" max="6" width="16" style="16" bestFit="1" customWidth="1"/>
    <col min="7" max="7" width="16" style="42" bestFit="1" customWidth="1"/>
    <col min="8" max="8" width="13.7109375" style="17" customWidth="1"/>
    <col min="9" max="9" width="9.7109375" style="17" bestFit="1" customWidth="1"/>
    <col min="10" max="10" width="16" style="42" bestFit="1" customWidth="1"/>
    <col min="11" max="11" width="9.7109375" style="17" bestFit="1" customWidth="1"/>
    <col min="12" max="12" width="12.85546875" style="67" bestFit="1" customWidth="1"/>
    <col min="13" max="13" width="12" style="16" bestFit="1" customWidth="1"/>
    <col min="14" max="14" width="12.42578125" style="17" bestFit="1" customWidth="1"/>
    <col min="15" max="15" width="7" style="17" bestFit="1" customWidth="1"/>
    <col min="16" max="16384" width="10.85546875" style="17"/>
  </cols>
  <sheetData>
    <row r="1" spans="1:20" s="28" customFormat="1">
      <c r="A1" s="245" t="s">
        <v>12</v>
      </c>
      <c r="C1" s="25">
        <v>48503385.489299998</v>
      </c>
      <c r="D1" s="25"/>
      <c r="E1" s="25"/>
      <c r="F1" s="53"/>
      <c r="G1" s="54"/>
      <c r="H1" s="26"/>
      <c r="I1" s="26"/>
      <c r="J1" s="54"/>
      <c r="K1" s="26"/>
      <c r="L1" s="65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27</v>
      </c>
      <c r="C2" s="43"/>
      <c r="D2" s="43"/>
      <c r="E2" s="43"/>
      <c r="F2" s="55"/>
      <c r="G2" s="56"/>
      <c r="H2" s="34"/>
      <c r="I2" s="34"/>
      <c r="J2" s="56"/>
      <c r="K2" s="34"/>
      <c r="L2" s="66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56"/>
      <c r="K3" s="34"/>
      <c r="L3" s="66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56" t="s">
        <v>4</v>
      </c>
      <c r="K4" s="34" t="s">
        <v>346</v>
      </c>
      <c r="L4" s="55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56" t="s">
        <v>44</v>
      </c>
      <c r="K5" s="34" t="s">
        <v>18</v>
      </c>
      <c r="L5" s="55" t="s">
        <v>44</v>
      </c>
      <c r="M5" s="55" t="s">
        <v>44</v>
      </c>
      <c r="N5" s="102" t="s">
        <v>5</v>
      </c>
    </row>
    <row r="6" spans="1:20" s="5" customFormat="1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50"/>
      <c r="K6" s="117"/>
      <c r="L6" s="276"/>
      <c r="M6" s="63"/>
      <c r="N6" s="119" t="s">
        <v>9</v>
      </c>
      <c r="O6" s="10"/>
      <c r="P6" s="10"/>
      <c r="Q6" s="10"/>
      <c r="R6" s="10"/>
      <c r="S6" s="10"/>
      <c r="T6" s="10"/>
    </row>
    <row r="7" spans="1:20">
      <c r="A7" s="36">
        <v>4552</v>
      </c>
      <c r="B7" s="129" t="s">
        <v>86</v>
      </c>
      <c r="C7" s="371" t="s">
        <v>224</v>
      </c>
      <c r="D7" s="559" t="s">
        <v>312</v>
      </c>
      <c r="E7" s="559" t="s">
        <v>85</v>
      </c>
      <c r="F7" s="594">
        <v>25000000</v>
      </c>
      <c r="G7" s="594">
        <v>25000000</v>
      </c>
      <c r="H7" s="179">
        <v>42374</v>
      </c>
      <c r="I7" s="216">
        <f>H7+35</f>
        <v>42409</v>
      </c>
      <c r="J7" s="92">
        <v>25000000</v>
      </c>
      <c r="K7" s="561">
        <f>H7+180</f>
        <v>42554</v>
      </c>
      <c r="L7" s="92">
        <v>18000000</v>
      </c>
      <c r="M7" s="92">
        <f>J7-L7</f>
        <v>7000000</v>
      </c>
      <c r="N7" s="34">
        <v>42544</v>
      </c>
      <c r="O7" s="36"/>
      <c r="P7" s="36"/>
      <c r="Q7" s="36"/>
      <c r="R7" s="36"/>
      <c r="S7" s="36"/>
      <c r="T7" s="36"/>
    </row>
    <row r="8" spans="1:20">
      <c r="A8" s="400">
        <v>4560</v>
      </c>
      <c r="B8" s="129" t="s">
        <v>86</v>
      </c>
      <c r="C8" s="371" t="s">
        <v>224</v>
      </c>
      <c r="D8" s="559" t="s">
        <v>326</v>
      </c>
      <c r="E8" s="559" t="s">
        <v>85</v>
      </c>
      <c r="F8" s="560">
        <v>15000000</v>
      </c>
      <c r="G8" s="560">
        <v>15000000</v>
      </c>
      <c r="H8" s="179">
        <v>42381</v>
      </c>
      <c r="I8" s="216">
        <f>H8+35</f>
        <v>42416</v>
      </c>
      <c r="J8" s="92">
        <v>15000000</v>
      </c>
      <c r="K8" s="561">
        <f>H8+180</f>
        <v>42561</v>
      </c>
      <c r="L8" s="92">
        <v>7700000</v>
      </c>
      <c r="M8" s="92">
        <f>J8-L8</f>
        <v>7300000</v>
      </c>
      <c r="N8" s="34">
        <v>42542</v>
      </c>
      <c r="O8" s="36" t="s">
        <v>215</v>
      </c>
      <c r="P8" s="36"/>
      <c r="Q8" s="36"/>
      <c r="R8" s="36"/>
      <c r="S8" s="36"/>
      <c r="T8" s="36"/>
    </row>
    <row r="9" spans="1:20">
      <c r="A9" s="400" t="s">
        <v>367</v>
      </c>
      <c r="B9" s="129" t="s">
        <v>45</v>
      </c>
      <c r="C9" s="371" t="s">
        <v>224</v>
      </c>
      <c r="D9" s="559" t="s">
        <v>368</v>
      </c>
      <c r="E9" s="559" t="s">
        <v>85</v>
      </c>
      <c r="F9" s="560"/>
      <c r="G9" s="560"/>
      <c r="H9" s="179"/>
      <c r="I9" s="216"/>
      <c r="J9" s="92"/>
      <c r="K9" s="561"/>
      <c r="L9" s="92"/>
      <c r="M9" s="92"/>
      <c r="N9" s="34"/>
      <c r="O9" s="36"/>
      <c r="P9" s="36"/>
      <c r="Q9" s="36"/>
      <c r="R9" s="36"/>
      <c r="S9" s="36"/>
      <c r="T9" s="36"/>
    </row>
    <row r="10" spans="1:20">
      <c r="A10" s="400" t="s">
        <v>377</v>
      </c>
      <c r="B10" s="129" t="s">
        <v>45</v>
      </c>
      <c r="C10" s="371" t="s">
        <v>224</v>
      </c>
      <c r="D10" s="559" t="s">
        <v>378</v>
      </c>
      <c r="E10" s="559" t="s">
        <v>85</v>
      </c>
      <c r="F10" s="560"/>
      <c r="G10" s="560"/>
      <c r="H10" s="179"/>
      <c r="I10" s="216"/>
      <c r="J10" s="92"/>
      <c r="K10" s="561"/>
      <c r="L10" s="92"/>
      <c r="M10" s="92"/>
      <c r="N10" s="34"/>
      <c r="O10" s="36"/>
      <c r="P10" s="36"/>
      <c r="Q10" s="36"/>
      <c r="R10" s="36"/>
      <c r="S10" s="36"/>
      <c r="T10" s="36"/>
    </row>
    <row r="11" spans="1:20">
      <c r="A11" s="400" t="s">
        <v>403</v>
      </c>
      <c r="B11" s="129" t="s">
        <v>45</v>
      </c>
      <c r="C11" s="371" t="s">
        <v>224</v>
      </c>
      <c r="D11" s="559" t="s">
        <v>404</v>
      </c>
      <c r="E11" s="559" t="s">
        <v>85</v>
      </c>
      <c r="F11" s="560"/>
      <c r="G11" s="560"/>
      <c r="H11" s="179"/>
      <c r="I11" s="216"/>
      <c r="J11" s="92"/>
      <c r="K11" s="561"/>
      <c r="L11" s="92"/>
      <c r="M11" s="92"/>
      <c r="N11" s="34"/>
      <c r="O11" s="36"/>
      <c r="P11" s="36"/>
      <c r="Q11" s="36"/>
      <c r="R11" s="36"/>
      <c r="S11" s="36"/>
      <c r="T11" s="36"/>
    </row>
    <row r="12" spans="1:20">
      <c r="A12" s="400" t="s">
        <v>406</v>
      </c>
      <c r="B12" s="129" t="s">
        <v>45</v>
      </c>
      <c r="C12" s="371" t="s">
        <v>224</v>
      </c>
      <c r="D12" s="559" t="s">
        <v>407</v>
      </c>
      <c r="E12" s="559" t="s">
        <v>85</v>
      </c>
      <c r="F12" s="560"/>
      <c r="G12" s="560"/>
      <c r="H12" s="179"/>
      <c r="I12" s="216"/>
      <c r="J12" s="92"/>
      <c r="K12" s="561"/>
      <c r="L12" s="92"/>
      <c r="M12" s="92"/>
      <c r="N12" s="34"/>
      <c r="O12" s="36"/>
      <c r="P12" s="36"/>
      <c r="Q12" s="36"/>
      <c r="R12" s="36"/>
      <c r="S12" s="36"/>
      <c r="T12" s="36"/>
    </row>
    <row r="13" spans="1:20" s="36" customFormat="1">
      <c r="A13" s="17"/>
      <c r="B13" s="1"/>
      <c r="C13" s="1"/>
      <c r="D13" s="1"/>
      <c r="E13" s="1"/>
      <c r="F13" s="107"/>
      <c r="G13" s="107"/>
      <c r="H13" s="15"/>
      <c r="I13" s="147"/>
      <c r="J13" s="90"/>
      <c r="K13" s="147"/>
      <c r="L13" s="122"/>
      <c r="M13" s="122"/>
      <c r="N13" s="15"/>
      <c r="O13" s="129"/>
    </row>
    <row r="14" spans="1:20" s="11" customFormat="1">
      <c r="A14" s="17"/>
      <c r="B14" s="17"/>
      <c r="C14" s="40"/>
      <c r="D14" s="17" t="s">
        <v>19</v>
      </c>
      <c r="E14" s="17"/>
      <c r="F14" s="95">
        <f>SUM(F7:F13)</f>
        <v>40000000</v>
      </c>
      <c r="G14" s="112">
        <f>SUM(G7:G13)</f>
        <v>40000000</v>
      </c>
      <c r="H14" s="15"/>
      <c r="I14" s="15"/>
      <c r="J14" s="112">
        <f>SUM(J7:J13)</f>
        <v>40000000</v>
      </c>
      <c r="K14" s="15"/>
      <c r="L14" s="123">
        <f>SUM(L7:L13)</f>
        <v>25700000</v>
      </c>
      <c r="M14" s="123">
        <f>SUM(M7:M13)</f>
        <v>14300000</v>
      </c>
      <c r="N14" s="15"/>
    </row>
    <row r="15" spans="1:20">
      <c r="F15" s="41"/>
      <c r="G15" s="14"/>
      <c r="H15" s="15"/>
      <c r="I15" s="15"/>
      <c r="J15" s="14"/>
      <c r="K15" s="15"/>
      <c r="L15" s="68"/>
      <c r="M15" s="68"/>
      <c r="N15" s="15"/>
      <c r="O15" s="1"/>
      <c r="P15" s="1"/>
      <c r="Q15" s="1"/>
      <c r="R15" s="1"/>
      <c r="S15" s="1"/>
      <c r="T15" s="1"/>
    </row>
    <row r="16" spans="1:20">
      <c r="D16" s="17" t="s">
        <v>45</v>
      </c>
      <c r="F16" s="41">
        <f>F14-G14</f>
        <v>0</v>
      </c>
      <c r="G16" s="139"/>
      <c r="H16" s="15"/>
      <c r="I16" s="15"/>
      <c r="J16" s="14"/>
      <c r="K16" s="15"/>
      <c r="L16" s="68"/>
      <c r="M16" s="68"/>
      <c r="N16" s="15"/>
      <c r="O16" s="1"/>
      <c r="P16" s="1"/>
      <c r="Q16" s="1"/>
      <c r="R16" s="1"/>
      <c r="S16" s="1"/>
      <c r="T16" s="1"/>
    </row>
    <row r="17" spans="3:20">
      <c r="G17" s="64"/>
      <c r="H17" s="15"/>
      <c r="I17" s="15"/>
      <c r="J17" s="64"/>
      <c r="K17" s="15"/>
      <c r="N17" s="15"/>
      <c r="O17" s="1"/>
      <c r="P17" s="1"/>
      <c r="Q17" s="1"/>
      <c r="R17" s="1"/>
      <c r="S17" s="1"/>
      <c r="T17" s="1"/>
    </row>
    <row r="18" spans="3:20">
      <c r="D18" s="271" t="s">
        <v>78</v>
      </c>
      <c r="F18" s="95">
        <f>SUM(C1-G14+M14)</f>
        <v>22803385.489299998</v>
      </c>
      <c r="G18" s="146" t="s">
        <v>570</v>
      </c>
      <c r="H18" s="15"/>
      <c r="I18" s="15"/>
      <c r="J18" s="64"/>
      <c r="K18" s="15"/>
      <c r="N18" s="15"/>
      <c r="O18" s="1"/>
      <c r="P18" s="1"/>
      <c r="Q18" s="1"/>
      <c r="R18" s="1"/>
      <c r="S18" s="1"/>
      <c r="T18" s="1"/>
    </row>
    <row r="19" spans="3:20">
      <c r="F19" s="89"/>
    </row>
    <row r="20" spans="3:20">
      <c r="C20" s="36"/>
      <c r="D20" s="36"/>
      <c r="E20" s="36"/>
      <c r="F20" s="92"/>
    </row>
    <row r="21" spans="3:20">
      <c r="C21" s="36"/>
      <c r="D21" s="36"/>
      <c r="E21" s="36"/>
      <c r="F21" s="92"/>
    </row>
    <row r="22" spans="3:20">
      <c r="C22" s="36"/>
      <c r="D22" s="36"/>
      <c r="E22" s="36"/>
      <c r="F22" s="92"/>
    </row>
    <row r="23" spans="3:20">
      <c r="F23" s="89"/>
    </row>
    <row r="24" spans="3:20">
      <c r="F24" s="89"/>
    </row>
    <row r="25" spans="3:20">
      <c r="F25" s="89"/>
    </row>
    <row r="26" spans="3:20">
      <c r="F26" s="89"/>
    </row>
    <row r="27" spans="3:20">
      <c r="F27" s="89"/>
    </row>
    <row r="28" spans="3:20">
      <c r="F28" s="89"/>
    </row>
    <row r="29" spans="3:20">
      <c r="F29" s="89"/>
    </row>
    <row r="30" spans="3:20">
      <c r="F30" s="89"/>
    </row>
    <row r="31" spans="3:20">
      <c r="F31" s="89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T12"/>
  <sheetViews>
    <sheetView zoomScaleNormal="100" workbookViewId="0">
      <selection activeCell="C1" sqref="C1"/>
    </sheetView>
  </sheetViews>
  <sheetFormatPr defaultColWidth="10.85546875" defaultRowHeight="12"/>
  <cols>
    <col min="1" max="1" width="8.28515625" style="17" customWidth="1"/>
    <col min="2" max="2" width="7.85546875" style="17" bestFit="1" customWidth="1"/>
    <col min="3" max="3" width="12.42578125" style="17" customWidth="1"/>
    <col min="4" max="4" width="8.85546875" style="17" bestFit="1" customWidth="1"/>
    <col min="5" max="5" width="10" style="17" bestFit="1" customWidth="1"/>
    <col min="6" max="6" width="12" style="16" bestFit="1" customWidth="1"/>
    <col min="7" max="7" width="11.42578125" style="42" bestFit="1" customWidth="1"/>
    <col min="8" max="8" width="13.7109375" style="17" customWidth="1"/>
    <col min="9" max="9" width="9.5703125" style="17" bestFit="1" customWidth="1"/>
    <col min="10" max="10" width="11.7109375" style="42" bestFit="1" customWidth="1"/>
    <col min="11" max="11" width="10.140625" style="17" bestFit="1" customWidth="1"/>
    <col min="12" max="12" width="12" style="16" customWidth="1"/>
    <col min="13" max="13" width="9.85546875" style="16" bestFit="1" customWidth="1"/>
    <col min="14" max="14" width="10.85546875" style="17" customWidth="1"/>
    <col min="15" max="15" width="3.140625" style="17" bestFit="1" customWidth="1"/>
    <col min="16" max="16384" width="10.85546875" style="17"/>
  </cols>
  <sheetData>
    <row r="1" spans="1:20" s="28" customFormat="1">
      <c r="A1" s="245" t="s">
        <v>12</v>
      </c>
      <c r="C1" s="25">
        <v>19636318.692899998</v>
      </c>
      <c r="D1" s="25"/>
      <c r="E1" s="25"/>
      <c r="F1" s="53"/>
      <c r="G1" s="54"/>
      <c r="H1" s="26"/>
      <c r="I1" s="26"/>
      <c r="J1" s="54"/>
      <c r="K1" s="26"/>
      <c r="L1" s="53"/>
      <c r="M1" s="53"/>
      <c r="N1" s="246"/>
      <c r="O1" s="36"/>
      <c r="P1" s="36"/>
      <c r="Q1" s="36"/>
      <c r="R1" s="36"/>
      <c r="S1" s="36"/>
      <c r="T1" s="36"/>
    </row>
    <row r="2" spans="1:20" s="36" customFormat="1">
      <c r="A2" s="247" t="s">
        <v>43</v>
      </c>
      <c r="C2" s="43"/>
      <c r="D2" s="43"/>
      <c r="E2" s="43"/>
      <c r="F2" s="55"/>
      <c r="G2" s="56"/>
      <c r="H2" s="34"/>
      <c r="I2" s="34"/>
      <c r="J2" s="56"/>
      <c r="K2" s="34"/>
      <c r="L2" s="55"/>
      <c r="M2" s="55"/>
      <c r="N2" s="102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56"/>
      <c r="K3" s="34"/>
      <c r="L3" s="55"/>
      <c r="M3" s="55"/>
      <c r="N3" s="102"/>
      <c r="O3" s="36"/>
      <c r="P3" s="36"/>
      <c r="Q3" s="36"/>
      <c r="R3" s="36"/>
      <c r="S3" s="36"/>
      <c r="T3" s="36"/>
    </row>
    <row r="4" spans="1:20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56" t="s">
        <v>4</v>
      </c>
      <c r="K4" s="34" t="s">
        <v>346</v>
      </c>
      <c r="L4" s="55" t="s">
        <v>28</v>
      </c>
      <c r="M4" s="55" t="s">
        <v>46</v>
      </c>
      <c r="N4" s="102" t="s">
        <v>23</v>
      </c>
      <c r="O4" s="36"/>
      <c r="P4" s="36"/>
      <c r="Q4" s="36"/>
      <c r="R4" s="36"/>
      <c r="S4" s="36"/>
      <c r="T4" s="36"/>
    </row>
    <row r="5" spans="1:20" s="36" customFormat="1">
      <c r="A5" s="248" t="s">
        <v>50</v>
      </c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56" t="s">
        <v>44</v>
      </c>
      <c r="K5" s="34" t="s">
        <v>18</v>
      </c>
      <c r="L5" s="55" t="s">
        <v>44</v>
      </c>
      <c r="M5" s="55" t="s">
        <v>44</v>
      </c>
      <c r="N5" s="102" t="s">
        <v>5</v>
      </c>
    </row>
    <row r="6" spans="1:20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50"/>
      <c r="K6" s="117"/>
      <c r="L6" s="63"/>
      <c r="M6" s="63"/>
      <c r="N6" s="119" t="s">
        <v>9</v>
      </c>
      <c r="O6" s="36"/>
      <c r="P6" s="36"/>
      <c r="Q6" s="36"/>
      <c r="R6" s="36"/>
      <c r="S6" s="36"/>
      <c r="T6" s="36"/>
    </row>
    <row r="7" spans="1:20" s="40" customFormat="1">
      <c r="A7" s="36"/>
      <c r="B7" s="36"/>
      <c r="C7" s="36"/>
      <c r="D7" s="36"/>
      <c r="E7" s="36"/>
      <c r="F7" s="91"/>
      <c r="G7" s="145"/>
      <c r="H7" s="15"/>
      <c r="I7" s="15"/>
      <c r="J7" s="145"/>
      <c r="K7" s="15"/>
      <c r="L7" s="92"/>
      <c r="M7" s="92"/>
      <c r="N7" s="15"/>
    </row>
    <row r="8" spans="1:20" s="40" customFormat="1">
      <c r="A8" s="17"/>
      <c r="B8" s="17"/>
      <c r="C8" s="17" t="s">
        <v>19</v>
      </c>
      <c r="D8" s="17"/>
      <c r="E8" s="17"/>
      <c r="F8" s="121">
        <f>SUM(F7:F7)</f>
        <v>0</v>
      </c>
      <c r="G8" s="121">
        <f>SUM(G7:G7)</f>
        <v>0</v>
      </c>
      <c r="H8" s="14"/>
      <c r="I8" s="14"/>
      <c r="J8" s="112">
        <f>SUM(J7:J7)</f>
        <v>0</v>
      </c>
      <c r="K8" s="15"/>
      <c r="L8" s="95">
        <f>SUM(L7:L7)</f>
        <v>0</v>
      </c>
      <c r="M8" s="95">
        <f>SUM(M7:M7)</f>
        <v>0</v>
      </c>
      <c r="N8" s="15"/>
    </row>
    <row r="9" spans="1:20">
      <c r="F9" s="91"/>
      <c r="G9" s="64"/>
      <c r="H9" s="15"/>
      <c r="I9" s="15"/>
      <c r="J9" s="64"/>
      <c r="K9" s="15"/>
      <c r="N9" s="15"/>
      <c r="O9" s="1"/>
      <c r="P9" s="1"/>
      <c r="Q9" s="1"/>
      <c r="R9" s="1"/>
      <c r="S9" s="1"/>
      <c r="T9" s="1"/>
    </row>
    <row r="10" spans="1:20">
      <c r="C10" s="17" t="s">
        <v>45</v>
      </c>
      <c r="F10" s="91">
        <f>SUM(F8-G8)</f>
        <v>0</v>
      </c>
      <c r="G10" s="139"/>
      <c r="H10" s="15"/>
      <c r="I10" s="15"/>
      <c r="J10" s="64"/>
      <c r="K10" s="15"/>
      <c r="N10" s="15"/>
      <c r="O10" s="1"/>
      <c r="P10" s="1"/>
      <c r="Q10" s="1"/>
      <c r="R10" s="1"/>
      <c r="S10" s="1"/>
      <c r="T10" s="1"/>
    </row>
    <row r="11" spans="1:20">
      <c r="F11" s="91"/>
      <c r="G11" s="64"/>
      <c r="H11" s="15"/>
      <c r="I11" s="15"/>
      <c r="J11" s="64"/>
      <c r="K11" s="15"/>
      <c r="N11" s="15"/>
      <c r="O11" s="1"/>
      <c r="P11" s="1"/>
      <c r="Q11" s="1"/>
      <c r="R11" s="1"/>
      <c r="S11" s="1"/>
      <c r="T11" s="1"/>
    </row>
    <row r="12" spans="1:20">
      <c r="C12" s="271" t="s">
        <v>78</v>
      </c>
      <c r="F12" s="121">
        <f>+C1-G8+M8</f>
        <v>19636318.692899998</v>
      </c>
      <c r="G12" s="146" t="s">
        <v>570</v>
      </c>
      <c r="H12" s="15"/>
      <c r="I12" s="15"/>
      <c r="J12" s="64"/>
      <c r="K12" s="15"/>
      <c r="N12" s="15"/>
      <c r="O12" s="1"/>
      <c r="P12" s="1"/>
      <c r="Q12" s="1"/>
      <c r="R12" s="1"/>
      <c r="S12" s="1"/>
      <c r="T12" s="1"/>
    </row>
  </sheetData>
  <phoneticPr fontId="0" type="noConversion"/>
  <pageMargins left="0.75" right="0.75" top="1" bottom="1" header="0.5" footer="0.5"/>
  <pageSetup scale="91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87"/>
  <sheetViews>
    <sheetView topLeftCell="A10" workbookViewId="0">
      <selection activeCell="A81" sqref="A81"/>
    </sheetView>
  </sheetViews>
  <sheetFormatPr defaultRowHeight="12"/>
  <cols>
    <col min="1" max="1" width="10.140625" customWidth="1"/>
    <col min="2" max="2" width="8.7109375" customWidth="1"/>
    <col min="3" max="3" width="32.7109375" bestFit="1" customWidth="1"/>
    <col min="4" max="4" width="32.7109375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2.140625" bestFit="1" customWidth="1"/>
    <col min="10" max="10" width="14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6.28515625" bestFit="1" customWidth="1"/>
    <col min="16" max="16" width="9.85546875" bestFit="1" customWidth="1"/>
  </cols>
  <sheetData>
    <row r="1" spans="1:14" ht="12.75">
      <c r="A1" s="336"/>
      <c r="B1" s="336" t="s">
        <v>401</v>
      </c>
      <c r="C1" s="338"/>
      <c r="D1" s="339"/>
      <c r="E1" s="342"/>
      <c r="F1" s="374"/>
      <c r="G1" s="374"/>
      <c r="H1" s="375"/>
      <c r="I1" s="375"/>
      <c r="J1" s="376"/>
      <c r="K1" s="375"/>
      <c r="L1" s="374"/>
      <c r="M1" s="375"/>
      <c r="N1" s="402"/>
    </row>
    <row r="2" spans="1:14" ht="12.75">
      <c r="A2" s="326" t="s">
        <v>34</v>
      </c>
      <c r="B2" s="327" t="s">
        <v>39</v>
      </c>
      <c r="C2" s="198" t="s">
        <v>32</v>
      </c>
      <c r="D2" s="328" t="s">
        <v>51</v>
      </c>
      <c r="E2" s="328" t="s">
        <v>47</v>
      </c>
      <c r="F2" s="377" t="s">
        <v>92</v>
      </c>
      <c r="G2" s="377" t="s">
        <v>93</v>
      </c>
      <c r="H2" s="378" t="s">
        <v>104</v>
      </c>
      <c r="I2" s="378" t="s">
        <v>94</v>
      </c>
      <c r="J2" s="379" t="s">
        <v>95</v>
      </c>
      <c r="K2" s="378"/>
      <c r="L2" s="377" t="s">
        <v>96</v>
      </c>
      <c r="M2" s="380" t="s">
        <v>97</v>
      </c>
      <c r="N2" s="403" t="s">
        <v>23</v>
      </c>
    </row>
    <row r="3" spans="1:14" ht="12.75">
      <c r="A3" s="326" t="s">
        <v>50</v>
      </c>
      <c r="B3" s="329"/>
      <c r="C3" s="198"/>
      <c r="D3" s="328"/>
      <c r="E3" s="328"/>
      <c r="F3" s="377" t="s">
        <v>57</v>
      </c>
      <c r="G3" s="377" t="s">
        <v>57</v>
      </c>
      <c r="H3" s="378" t="s">
        <v>9</v>
      </c>
      <c r="I3" s="378" t="s">
        <v>18</v>
      </c>
      <c r="J3" s="379" t="s">
        <v>57</v>
      </c>
      <c r="K3" s="378" t="s">
        <v>18</v>
      </c>
      <c r="L3" s="377" t="s">
        <v>57</v>
      </c>
      <c r="M3" s="380" t="s">
        <v>98</v>
      </c>
      <c r="N3" s="403" t="s">
        <v>5</v>
      </c>
    </row>
    <row r="4" spans="1:14" ht="13.5" thickBot="1">
      <c r="A4" s="330" t="s">
        <v>17</v>
      </c>
      <c r="B4" s="331"/>
      <c r="C4" s="332"/>
      <c r="D4" s="333"/>
      <c r="E4" s="333"/>
      <c r="F4" s="381"/>
      <c r="G4" s="381"/>
      <c r="H4" s="382"/>
      <c r="I4" s="382"/>
      <c r="J4" s="383"/>
      <c r="K4" s="382"/>
      <c r="L4" s="381"/>
      <c r="M4" s="381"/>
      <c r="N4" s="404" t="s">
        <v>9</v>
      </c>
    </row>
    <row r="5" spans="1:14" ht="12.75">
      <c r="A5" s="369" t="s">
        <v>174</v>
      </c>
      <c r="B5" s="329"/>
      <c r="C5" s="198"/>
      <c r="D5" s="328"/>
      <c r="E5" s="328"/>
      <c r="F5" s="377"/>
      <c r="G5" s="377"/>
      <c r="H5" s="378"/>
      <c r="I5" s="378"/>
      <c r="J5" s="379"/>
      <c r="K5" s="378"/>
      <c r="L5" s="377"/>
      <c r="M5" s="377"/>
      <c r="N5" s="633"/>
    </row>
    <row r="6" spans="1:14" s="325" customFormat="1">
      <c r="A6" s="1" t="s">
        <v>571</v>
      </c>
      <c r="B6" s="1" t="s">
        <v>45</v>
      </c>
      <c r="C6" s="297" t="s">
        <v>106</v>
      </c>
      <c r="D6" s="1" t="s">
        <v>572</v>
      </c>
      <c r="E6" s="1" t="s">
        <v>83</v>
      </c>
      <c r="F6" s="91">
        <v>35000000</v>
      </c>
      <c r="G6" s="91">
        <v>35000000</v>
      </c>
      <c r="H6" s="316">
        <v>42738</v>
      </c>
      <c r="I6" s="316">
        <v>42753</v>
      </c>
      <c r="J6" s="271"/>
      <c r="K6" s="271"/>
      <c r="L6" s="271"/>
      <c r="M6" s="271"/>
      <c r="N6" s="217"/>
    </row>
    <row r="7" spans="1:14" s="325" customFormat="1">
      <c r="A7" s="371" t="s">
        <v>576</v>
      </c>
      <c r="B7" s="1" t="s">
        <v>45</v>
      </c>
      <c r="C7" s="297" t="s">
        <v>281</v>
      </c>
      <c r="D7" s="129" t="s">
        <v>265</v>
      </c>
      <c r="E7" s="129" t="s">
        <v>85</v>
      </c>
      <c r="F7" s="91">
        <v>50000000</v>
      </c>
      <c r="G7" s="91">
        <v>50000000</v>
      </c>
      <c r="H7" s="316">
        <v>42738</v>
      </c>
      <c r="I7" s="316">
        <v>42753</v>
      </c>
      <c r="J7" s="271"/>
      <c r="K7" s="271"/>
      <c r="L7" s="271"/>
      <c r="M7" s="271"/>
      <c r="N7" s="217"/>
    </row>
    <row r="8" spans="1:14" s="325" customFormat="1">
      <c r="A8" s="1" t="s">
        <v>423</v>
      </c>
      <c r="B8" s="1" t="s">
        <v>45</v>
      </c>
      <c r="C8" s="297" t="s">
        <v>260</v>
      </c>
      <c r="D8" s="1" t="s">
        <v>339</v>
      </c>
      <c r="E8" s="1" t="s">
        <v>256</v>
      </c>
      <c r="F8" s="91">
        <v>45000000</v>
      </c>
      <c r="G8" s="87">
        <f>F24-85000000</f>
        <v>11023000.300000072</v>
      </c>
      <c r="H8" s="316">
        <v>42738</v>
      </c>
      <c r="I8" s="316">
        <v>42753</v>
      </c>
      <c r="J8" s="271"/>
      <c r="K8" s="271"/>
      <c r="L8" s="271"/>
      <c r="M8" s="271"/>
      <c r="N8" s="217"/>
    </row>
    <row r="9" spans="1:14" s="325" customFormat="1">
      <c r="A9" s="1" t="s">
        <v>579</v>
      </c>
      <c r="B9" s="1" t="s">
        <v>45</v>
      </c>
      <c r="C9" s="297" t="s">
        <v>156</v>
      </c>
      <c r="D9" s="1" t="s">
        <v>580</v>
      </c>
      <c r="E9" s="1" t="s">
        <v>83</v>
      </c>
      <c r="F9" s="91">
        <v>40000000</v>
      </c>
      <c r="G9" s="87"/>
      <c r="H9" s="271"/>
      <c r="I9" s="271"/>
      <c r="J9" s="271"/>
      <c r="K9" s="271"/>
      <c r="L9" s="271"/>
      <c r="M9" s="271"/>
      <c r="N9" s="217"/>
    </row>
    <row r="10" spans="1:14" s="325" customFormat="1">
      <c r="A10" s="1" t="s">
        <v>581</v>
      </c>
      <c r="B10" s="1" t="s">
        <v>45</v>
      </c>
      <c r="C10" s="297" t="s">
        <v>422</v>
      </c>
      <c r="D10" s="1" t="s">
        <v>250</v>
      </c>
      <c r="E10" s="1" t="s">
        <v>84</v>
      </c>
      <c r="F10" s="91">
        <v>48000000</v>
      </c>
      <c r="G10" s="87"/>
      <c r="H10" s="271"/>
      <c r="I10" s="271"/>
      <c r="J10" s="271"/>
      <c r="K10" s="271"/>
      <c r="L10" s="271"/>
      <c r="M10" s="271"/>
      <c r="N10" s="217"/>
    </row>
    <row r="11" spans="1:14">
      <c r="A11" s="325"/>
      <c r="B11" s="325"/>
      <c r="C11" s="297"/>
      <c r="D11" s="129"/>
      <c r="E11" s="129"/>
      <c r="F11" s="384"/>
      <c r="G11" s="384"/>
      <c r="H11" s="271"/>
      <c r="I11" s="271"/>
      <c r="J11" s="271"/>
      <c r="K11" s="271"/>
      <c r="L11" s="271"/>
      <c r="M11" s="271"/>
      <c r="N11" s="217"/>
    </row>
    <row r="12" spans="1:14">
      <c r="A12" s="369" t="s">
        <v>99</v>
      </c>
      <c r="B12" s="325"/>
      <c r="C12" s="325"/>
      <c r="D12" s="325"/>
      <c r="E12" s="325"/>
      <c r="F12" s="385"/>
      <c r="G12" s="385"/>
      <c r="H12" s="271"/>
      <c r="I12" s="271"/>
      <c r="J12" s="271"/>
      <c r="K12" s="271"/>
      <c r="L12" s="271"/>
      <c r="M12" s="271"/>
      <c r="N12" s="217"/>
    </row>
    <row r="13" spans="1:14" s="325" customFormat="1">
      <c r="A13" s="1" t="s">
        <v>400</v>
      </c>
      <c r="B13" s="1" t="s">
        <v>45</v>
      </c>
      <c r="C13" s="297" t="s">
        <v>150</v>
      </c>
      <c r="D13" s="1" t="s">
        <v>293</v>
      </c>
      <c r="E13" s="1" t="s">
        <v>83</v>
      </c>
      <c r="F13" s="91">
        <v>45000000</v>
      </c>
      <c r="G13" s="87"/>
      <c r="H13" s="271"/>
      <c r="I13" s="271"/>
      <c r="J13" s="271"/>
      <c r="K13" s="271"/>
      <c r="L13" s="271"/>
      <c r="M13" s="271"/>
      <c r="N13" s="217"/>
    </row>
    <row r="14" spans="1:14" s="325" customFormat="1">
      <c r="A14" s="1" t="s">
        <v>472</v>
      </c>
      <c r="B14" s="1" t="s">
        <v>45</v>
      </c>
      <c r="C14" s="297" t="s">
        <v>305</v>
      </c>
      <c r="D14" s="1" t="s">
        <v>438</v>
      </c>
      <c r="E14" s="1" t="s">
        <v>83</v>
      </c>
      <c r="F14" s="91">
        <v>50000000</v>
      </c>
      <c r="G14" s="87"/>
      <c r="H14" s="271"/>
      <c r="I14" s="271"/>
      <c r="J14" s="271"/>
      <c r="K14" s="271"/>
      <c r="L14" s="271"/>
      <c r="M14" s="271"/>
      <c r="N14" s="217"/>
    </row>
    <row r="15" spans="1:14" s="325" customFormat="1">
      <c r="A15" s="1" t="s">
        <v>473</v>
      </c>
      <c r="B15" s="1" t="s">
        <v>45</v>
      </c>
      <c r="C15" s="297" t="s">
        <v>305</v>
      </c>
      <c r="D15" s="1" t="s">
        <v>474</v>
      </c>
      <c r="E15" s="1" t="s">
        <v>83</v>
      </c>
      <c r="F15" s="91">
        <v>50000000</v>
      </c>
      <c r="G15" s="87"/>
      <c r="H15" s="271"/>
      <c r="I15" s="271"/>
      <c r="J15" s="271"/>
      <c r="K15" s="271"/>
      <c r="L15" s="271"/>
      <c r="M15" s="271"/>
      <c r="N15" s="217"/>
    </row>
    <row r="16" spans="1:14" s="325" customFormat="1">
      <c r="A16" s="1" t="s">
        <v>475</v>
      </c>
      <c r="B16" s="1" t="s">
        <v>45</v>
      </c>
      <c r="C16" s="297" t="s">
        <v>106</v>
      </c>
      <c r="D16" s="1" t="s">
        <v>476</v>
      </c>
      <c r="E16" s="1" t="s">
        <v>83</v>
      </c>
      <c r="F16" s="91">
        <v>48000000</v>
      </c>
      <c r="G16" s="87"/>
      <c r="H16" s="271"/>
      <c r="I16" s="271"/>
      <c r="J16" s="271"/>
      <c r="K16" s="271"/>
      <c r="L16" s="271"/>
      <c r="M16" s="271"/>
      <c r="N16" s="217"/>
    </row>
    <row r="17" spans="1:14" s="325" customFormat="1">
      <c r="A17" s="1" t="s">
        <v>486</v>
      </c>
      <c r="B17" s="1" t="s">
        <v>45</v>
      </c>
      <c r="C17" s="297" t="s">
        <v>150</v>
      </c>
      <c r="D17" s="1" t="s">
        <v>488</v>
      </c>
      <c r="E17" s="1" t="s">
        <v>487</v>
      </c>
      <c r="F17" s="91">
        <v>50000000</v>
      </c>
      <c r="G17" s="87"/>
      <c r="H17" s="271"/>
      <c r="I17" s="271"/>
      <c r="J17" s="271"/>
      <c r="K17" s="271"/>
      <c r="L17" s="271"/>
      <c r="M17" s="271"/>
      <c r="N17" s="217"/>
    </row>
    <row r="18" spans="1:14" s="325" customFormat="1">
      <c r="A18" s="1" t="s">
        <v>568</v>
      </c>
      <c r="B18" s="1" t="s">
        <v>45</v>
      </c>
      <c r="C18" s="297" t="s">
        <v>106</v>
      </c>
      <c r="D18" s="1" t="s">
        <v>567</v>
      </c>
      <c r="E18" s="1" t="s">
        <v>83</v>
      </c>
      <c r="F18" s="91">
        <v>50000000</v>
      </c>
      <c r="G18" s="87"/>
      <c r="H18" s="271"/>
      <c r="I18" s="271"/>
      <c r="J18" s="271"/>
      <c r="K18" s="271"/>
      <c r="L18" s="271"/>
      <c r="M18" s="271"/>
      <c r="N18" s="217"/>
    </row>
    <row r="19" spans="1:14" s="325" customFormat="1">
      <c r="A19" s="1" t="s">
        <v>573</v>
      </c>
      <c r="B19" s="1" t="s">
        <v>45</v>
      </c>
      <c r="C19" s="297" t="s">
        <v>106</v>
      </c>
      <c r="D19" s="1" t="s">
        <v>575</v>
      </c>
      <c r="E19" s="1" t="s">
        <v>574</v>
      </c>
      <c r="F19" s="91">
        <v>50000000</v>
      </c>
      <c r="G19" s="87"/>
      <c r="H19" s="271"/>
      <c r="I19" s="271"/>
      <c r="J19" s="271"/>
      <c r="K19" s="271"/>
      <c r="L19" s="271"/>
      <c r="M19" s="271"/>
      <c r="N19" s="217"/>
    </row>
    <row r="20" spans="1:14" s="325" customFormat="1">
      <c r="A20" s="1"/>
      <c r="B20" s="1"/>
      <c r="C20" s="297"/>
      <c r="D20" s="1"/>
      <c r="E20" s="1"/>
      <c r="F20" s="91"/>
      <c r="G20" s="87"/>
      <c r="H20" s="271"/>
      <c r="I20" s="271"/>
      <c r="J20" s="271"/>
      <c r="K20" s="271"/>
      <c r="L20" s="271"/>
      <c r="M20" s="271"/>
      <c r="N20" s="217"/>
    </row>
    <row r="21" spans="1:14">
      <c r="A21" s="1"/>
      <c r="B21" s="1"/>
      <c r="C21" s="1"/>
      <c r="D21" s="1"/>
      <c r="E21" s="1"/>
      <c r="F21" s="422">
        <f>SUM(F5:F19)</f>
        <v>561000000</v>
      </c>
      <c r="G21" s="422">
        <f>SUM(G6:G19)</f>
        <v>96023000.300000072</v>
      </c>
      <c r="H21" s="271"/>
      <c r="I21" s="271"/>
      <c r="J21" s="271"/>
      <c r="K21" s="271"/>
      <c r="L21" s="124">
        <f>SUM(L7:L13)</f>
        <v>0</v>
      </c>
      <c r="M21" s="124"/>
      <c r="N21" s="217"/>
    </row>
    <row r="22" spans="1:14">
      <c r="A22" s="1"/>
      <c r="B22" s="1"/>
      <c r="C22" s="1"/>
      <c r="D22" s="1"/>
      <c r="E22" s="1"/>
      <c r="F22" s="232"/>
      <c r="G22" s="232"/>
      <c r="H22" s="271"/>
      <c r="I22" s="271"/>
      <c r="J22" s="271"/>
      <c r="K22" s="271"/>
      <c r="L22" s="232"/>
      <c r="M22" s="232"/>
      <c r="N22" s="217"/>
    </row>
    <row r="23" spans="1:14" ht="12.75" thickBot="1">
      <c r="A23" s="1"/>
      <c r="B23" s="1"/>
      <c r="C23" s="1"/>
      <c r="D23" s="1"/>
      <c r="E23" s="1"/>
      <c r="F23" s="232"/>
      <c r="G23" s="232"/>
      <c r="H23" s="271"/>
      <c r="I23" s="271"/>
      <c r="J23" s="271"/>
      <c r="K23" s="271"/>
      <c r="L23" s="232"/>
      <c r="M23" s="232"/>
      <c r="N23" s="217"/>
    </row>
    <row r="24" spans="1:14" ht="12.75" thickBot="1">
      <c r="A24" s="1"/>
      <c r="B24" s="1"/>
      <c r="C24" s="1"/>
      <c r="D24" s="430" t="s">
        <v>214</v>
      </c>
      <c r="E24" s="431"/>
      <c r="F24" s="434">
        <f>'Aug 15'!F59</f>
        <v>96023000.300000072</v>
      </c>
      <c r="G24" s="232"/>
      <c r="H24" s="87"/>
      <c r="I24" s="271"/>
      <c r="J24" s="271"/>
      <c r="K24" s="271"/>
      <c r="L24" s="232"/>
      <c r="M24" s="232"/>
      <c r="N24" s="217"/>
    </row>
    <row r="25" spans="1:14">
      <c r="A25" s="1"/>
      <c r="B25" s="1"/>
      <c r="C25" s="1"/>
      <c r="D25" s="1"/>
      <c r="E25" s="1"/>
      <c r="F25" s="232"/>
      <c r="G25" s="232"/>
      <c r="H25" s="271"/>
      <c r="I25" s="271"/>
      <c r="J25" s="271"/>
      <c r="K25" s="271"/>
      <c r="L25" s="232"/>
      <c r="M25" s="232"/>
      <c r="N25" s="217"/>
    </row>
    <row r="26" spans="1:14">
      <c r="F26" s="421"/>
      <c r="G26" s="421"/>
    </row>
    <row r="28" spans="1:14" s="325" customFormat="1" ht="12.75" thickBot="1">
      <c r="A28" s="1"/>
      <c r="B28" s="1"/>
      <c r="C28" s="297"/>
      <c r="D28" s="1"/>
      <c r="E28" s="1"/>
      <c r="F28" s="91"/>
      <c r="G28" s="87"/>
      <c r="H28" s="271"/>
      <c r="I28" s="271"/>
      <c r="J28" s="271"/>
      <c r="K28" s="271"/>
      <c r="L28" s="271"/>
      <c r="M28" s="271"/>
      <c r="N28" s="217"/>
    </row>
    <row r="29" spans="1:14" ht="12.75">
      <c r="A29" s="336"/>
      <c r="B29" s="336" t="s">
        <v>402</v>
      </c>
      <c r="C29" s="236"/>
      <c r="D29" s="236"/>
      <c r="E29" s="236"/>
      <c r="F29" s="386"/>
      <c r="G29" s="386"/>
      <c r="H29" s="386"/>
      <c r="I29" s="386"/>
      <c r="J29" s="386"/>
      <c r="K29" s="386"/>
      <c r="L29" s="386"/>
      <c r="M29" s="386"/>
      <c r="N29" s="405"/>
    </row>
    <row r="30" spans="1:14" ht="12.75">
      <c r="A30" s="326" t="s">
        <v>34</v>
      </c>
      <c r="B30" s="327" t="s">
        <v>39</v>
      </c>
      <c r="C30" s="198" t="s">
        <v>32</v>
      </c>
      <c r="D30" s="335" t="s">
        <v>51</v>
      </c>
      <c r="E30" s="335" t="s">
        <v>47</v>
      </c>
      <c r="F30" s="377" t="s">
        <v>92</v>
      </c>
      <c r="G30" s="377" t="s">
        <v>56</v>
      </c>
      <c r="H30" s="378"/>
      <c r="I30" s="378" t="s">
        <v>36</v>
      </c>
      <c r="J30" s="379" t="s">
        <v>95</v>
      </c>
      <c r="K30" s="378"/>
      <c r="L30" s="377" t="s">
        <v>100</v>
      </c>
      <c r="M30" s="380" t="s">
        <v>97</v>
      </c>
      <c r="N30" s="403" t="s">
        <v>23</v>
      </c>
    </row>
    <row r="31" spans="1:14" ht="12.75">
      <c r="A31" s="326" t="s">
        <v>50</v>
      </c>
      <c r="B31" s="329"/>
      <c r="C31" s="198"/>
      <c r="D31" s="335"/>
      <c r="E31" s="335"/>
      <c r="F31" s="377" t="s">
        <v>57</v>
      </c>
      <c r="G31" s="377" t="s">
        <v>57</v>
      </c>
      <c r="H31" s="378" t="s">
        <v>9</v>
      </c>
      <c r="I31" s="378" t="s">
        <v>18</v>
      </c>
      <c r="J31" s="379" t="s">
        <v>57</v>
      </c>
      <c r="K31" s="378" t="s">
        <v>18</v>
      </c>
      <c r="L31" s="377" t="s">
        <v>57</v>
      </c>
      <c r="M31" s="380" t="s">
        <v>98</v>
      </c>
      <c r="N31" s="403" t="s">
        <v>5</v>
      </c>
    </row>
    <row r="32" spans="1:14" ht="13.5" thickBot="1">
      <c r="A32" s="330" t="s">
        <v>17</v>
      </c>
      <c r="B32" s="331"/>
      <c r="C32" s="332"/>
      <c r="D32" s="334"/>
      <c r="E32" s="334"/>
      <c r="F32" s="381"/>
      <c r="G32" s="381"/>
      <c r="H32" s="382"/>
      <c r="I32" s="382"/>
      <c r="J32" s="387"/>
      <c r="K32" s="382"/>
      <c r="L32" s="381"/>
      <c r="M32" s="388" t="s">
        <v>101</v>
      </c>
      <c r="N32" s="404" t="s">
        <v>9</v>
      </c>
    </row>
    <row r="33" spans="1:17">
      <c r="A33" s="341" t="s">
        <v>58</v>
      </c>
    </row>
    <row r="34" spans="1:17" s="36" customFormat="1">
      <c r="A34" s="36">
        <v>4638</v>
      </c>
      <c r="B34" s="129" t="s">
        <v>80</v>
      </c>
      <c r="C34" s="297" t="s">
        <v>184</v>
      </c>
      <c r="D34" s="297" t="s">
        <v>502</v>
      </c>
      <c r="E34" s="297" t="s">
        <v>192</v>
      </c>
      <c r="F34" s="101">
        <v>98187302</v>
      </c>
      <c r="G34" s="101">
        <v>98187302</v>
      </c>
      <c r="H34" s="34">
        <v>42584</v>
      </c>
      <c r="I34" s="34">
        <f t="shared" ref="I34" si="0">H34+35</f>
        <v>42619</v>
      </c>
      <c r="J34" s="101">
        <v>98187302</v>
      </c>
      <c r="K34" s="34">
        <f t="shared" ref="K34" si="1">H34+210</f>
        <v>42794</v>
      </c>
      <c r="L34" s="34"/>
      <c r="M34" s="107">
        <f t="shared" ref="M34:M39" si="2">J34-L34</f>
        <v>98187302</v>
      </c>
      <c r="N34" s="101"/>
      <c r="O34" s="101"/>
      <c r="P34" s="34"/>
    </row>
    <row r="35" spans="1:17" s="36" customFormat="1">
      <c r="A35" s="36">
        <v>4641</v>
      </c>
      <c r="B35" s="129" t="s">
        <v>80</v>
      </c>
      <c r="C35" s="297" t="s">
        <v>507</v>
      </c>
      <c r="D35" s="297" t="s">
        <v>506</v>
      </c>
      <c r="E35" s="297" t="s">
        <v>528</v>
      </c>
      <c r="F35" s="101">
        <v>25000000</v>
      </c>
      <c r="G35" s="101">
        <v>25000000</v>
      </c>
      <c r="H35" s="34">
        <v>42588</v>
      </c>
      <c r="I35" s="34">
        <f t="shared" ref="I35" si="3">H35+35</f>
        <v>42623</v>
      </c>
      <c r="J35" s="101">
        <v>25000000</v>
      </c>
      <c r="K35" s="34">
        <f t="shared" ref="K35" si="4">H35+210</f>
        <v>42798</v>
      </c>
      <c r="M35" s="107">
        <f t="shared" si="2"/>
        <v>25000000</v>
      </c>
      <c r="N35" s="101"/>
      <c r="O35" s="101"/>
      <c r="P35" s="34"/>
    </row>
    <row r="36" spans="1:17" s="36" customFormat="1">
      <c r="A36" s="36">
        <v>4642</v>
      </c>
      <c r="B36" s="129" t="s">
        <v>80</v>
      </c>
      <c r="C36" s="297" t="s">
        <v>565</v>
      </c>
      <c r="D36" s="297" t="s">
        <v>512</v>
      </c>
      <c r="E36" s="297" t="s">
        <v>192</v>
      </c>
      <c r="F36" s="101">
        <v>51000000</v>
      </c>
      <c r="G36" s="101">
        <v>51000000</v>
      </c>
      <c r="H36" s="34">
        <v>42588</v>
      </c>
      <c r="I36" s="34">
        <f t="shared" ref="I36:I39" si="5">H36+35</f>
        <v>42623</v>
      </c>
      <c r="J36" s="101">
        <v>51000000</v>
      </c>
      <c r="K36" s="34">
        <f t="shared" ref="K36:K39" si="6">H36+210</f>
        <v>42798</v>
      </c>
      <c r="M36" s="107">
        <f t="shared" si="2"/>
        <v>51000000</v>
      </c>
      <c r="N36" s="101"/>
      <c r="O36" s="101"/>
      <c r="P36" s="34"/>
    </row>
    <row r="37" spans="1:17" s="36" customFormat="1">
      <c r="A37" s="36">
        <v>4643</v>
      </c>
      <c r="B37" s="129" t="s">
        <v>80</v>
      </c>
      <c r="C37" s="297" t="s">
        <v>79</v>
      </c>
      <c r="D37" s="297" t="s">
        <v>163</v>
      </c>
      <c r="E37" s="297" t="s">
        <v>192</v>
      </c>
      <c r="F37" s="101">
        <v>115000000</v>
      </c>
      <c r="G37" s="101">
        <v>115000000</v>
      </c>
      <c r="H37" s="34">
        <v>42588</v>
      </c>
      <c r="I37" s="34">
        <f t="shared" si="5"/>
        <v>42623</v>
      </c>
      <c r="J37" s="101">
        <v>115000000</v>
      </c>
      <c r="K37" s="34">
        <f t="shared" si="6"/>
        <v>42798</v>
      </c>
      <c r="L37" s="101"/>
      <c r="M37" s="107">
        <f t="shared" si="2"/>
        <v>115000000</v>
      </c>
      <c r="N37" s="101"/>
      <c r="O37" s="101"/>
      <c r="P37" s="34"/>
    </row>
    <row r="38" spans="1:17" s="36" customFormat="1">
      <c r="A38" s="36">
        <v>4644</v>
      </c>
      <c r="B38" s="129" t="s">
        <v>80</v>
      </c>
      <c r="C38" s="297" t="s">
        <v>79</v>
      </c>
      <c r="D38" s="297" t="s">
        <v>172</v>
      </c>
      <c r="E38" s="297" t="s">
        <v>192</v>
      </c>
      <c r="F38" s="101">
        <v>212356465</v>
      </c>
      <c r="G38" s="101">
        <v>212356465</v>
      </c>
      <c r="H38" s="34">
        <v>42588</v>
      </c>
      <c r="I38" s="34">
        <f t="shared" si="5"/>
        <v>42623</v>
      </c>
      <c r="J38" s="101">
        <v>212356465</v>
      </c>
      <c r="K38" s="34">
        <f t="shared" si="6"/>
        <v>42798</v>
      </c>
      <c r="L38" s="101"/>
      <c r="M38" s="107">
        <f t="shared" si="2"/>
        <v>212356465</v>
      </c>
      <c r="N38" s="101"/>
      <c r="O38" s="101"/>
      <c r="P38" s="34"/>
    </row>
    <row r="39" spans="1:17" s="36" customFormat="1">
      <c r="A39" s="36">
        <v>4645</v>
      </c>
      <c r="B39" s="129" t="s">
        <v>80</v>
      </c>
      <c r="C39" s="297" t="s">
        <v>79</v>
      </c>
      <c r="D39" s="297" t="s">
        <v>172</v>
      </c>
      <c r="E39" s="297" t="s">
        <v>192</v>
      </c>
      <c r="F39" s="101">
        <v>556329254</v>
      </c>
      <c r="G39" s="101">
        <v>480329254</v>
      </c>
      <c r="H39" s="34">
        <v>42588</v>
      </c>
      <c r="I39" s="34">
        <f t="shared" si="5"/>
        <v>42623</v>
      </c>
      <c r="J39" s="101">
        <v>352028273</v>
      </c>
      <c r="K39" s="34">
        <f t="shared" si="6"/>
        <v>42798</v>
      </c>
      <c r="L39" s="101"/>
      <c r="M39" s="107">
        <f t="shared" si="2"/>
        <v>352028273</v>
      </c>
      <c r="N39" s="101"/>
      <c r="O39" s="101"/>
      <c r="P39" s="34"/>
    </row>
    <row r="40" spans="1:17">
      <c r="F40" s="392"/>
      <c r="G40" s="392"/>
      <c r="H40" s="392"/>
      <c r="I40" s="392"/>
      <c r="J40" s="392"/>
      <c r="K40" s="392"/>
      <c r="M40" s="448"/>
    </row>
    <row r="41" spans="1:17">
      <c r="F41" s="392"/>
      <c r="G41" s="392"/>
      <c r="H41" s="392"/>
      <c r="I41" s="392"/>
      <c r="J41" s="422">
        <f>SUM(J34:J40)</f>
        <v>853572040</v>
      </c>
      <c r="K41" s="543"/>
      <c r="L41" s="422">
        <f>SUM(L34:L40)</f>
        <v>0</v>
      </c>
      <c r="M41" s="422">
        <f>SUM(M34:M40)</f>
        <v>853572040</v>
      </c>
      <c r="O41" s="421"/>
    </row>
    <row r="42" spans="1:17">
      <c r="F42" s="392"/>
      <c r="G42" s="392"/>
      <c r="H42" s="392"/>
      <c r="I42" s="392"/>
      <c r="J42" s="392"/>
      <c r="K42" s="392"/>
      <c r="O42" s="448"/>
    </row>
    <row r="43" spans="1:17" ht="12.75" thickBot="1">
      <c r="F43" s="392"/>
      <c r="G43" s="392"/>
      <c r="H43" s="392"/>
      <c r="I43" s="392"/>
      <c r="J43" s="392"/>
      <c r="K43" s="392"/>
    </row>
    <row r="44" spans="1:17">
      <c r="A44" s="362" t="s">
        <v>102</v>
      </c>
      <c r="F44" s="392"/>
      <c r="G44" s="410"/>
      <c r="H44" s="316"/>
      <c r="I44" s="392"/>
      <c r="J44" s="392"/>
      <c r="K44" s="392"/>
    </row>
    <row r="45" spans="1:17" s="36" customFormat="1">
      <c r="A45" s="129">
        <v>4633</v>
      </c>
      <c r="B45" s="129" t="s">
        <v>80</v>
      </c>
      <c r="C45" s="297" t="s">
        <v>320</v>
      </c>
      <c r="D45" s="297" t="s">
        <v>428</v>
      </c>
      <c r="E45" s="297" t="s">
        <v>84</v>
      </c>
      <c r="F45" s="412">
        <v>35000000</v>
      </c>
      <c r="G45" s="412">
        <v>35000000</v>
      </c>
      <c r="H45" s="408">
        <v>42557</v>
      </c>
      <c r="I45" s="340">
        <f t="shared" ref="I45:I52" si="7">H45+35</f>
        <v>42592</v>
      </c>
      <c r="J45" s="412">
        <v>35000000</v>
      </c>
      <c r="K45" s="340">
        <f t="shared" ref="K45:K52" si="8">H45+180</f>
        <v>42737</v>
      </c>
      <c r="L45" s="31"/>
      <c r="M45" s="107">
        <f>J45-L45</f>
        <v>35000000</v>
      </c>
      <c r="N45" s="34"/>
      <c r="O45" s="241"/>
    </row>
    <row r="46" spans="1:17" s="36" customFormat="1">
      <c r="A46" s="129">
        <v>4634</v>
      </c>
      <c r="B46" s="129" t="s">
        <v>80</v>
      </c>
      <c r="C46" s="1" t="s">
        <v>454</v>
      </c>
      <c r="D46" s="444" t="s">
        <v>455</v>
      </c>
      <c r="E46" s="217" t="s">
        <v>103</v>
      </c>
      <c r="F46" s="412">
        <v>20000000</v>
      </c>
      <c r="G46" s="412">
        <v>20000000</v>
      </c>
      <c r="H46" s="408">
        <v>42557</v>
      </c>
      <c r="I46" s="340">
        <f t="shared" si="7"/>
        <v>42592</v>
      </c>
      <c r="J46" s="412">
        <v>20000000</v>
      </c>
      <c r="K46" s="340">
        <f t="shared" si="8"/>
        <v>42737</v>
      </c>
      <c r="L46" s="31"/>
      <c r="M46" s="107">
        <f t="shared" ref="M46:M74" si="9">J46-L46</f>
        <v>20000000</v>
      </c>
      <c r="N46" s="34"/>
      <c r="O46" s="241"/>
    </row>
    <row r="47" spans="1:17" s="1" customFormat="1">
      <c r="A47" s="129">
        <v>4635</v>
      </c>
      <c r="B47" s="444" t="s">
        <v>80</v>
      </c>
      <c r="C47" s="129" t="s">
        <v>324</v>
      </c>
      <c r="D47" s="129" t="s">
        <v>414</v>
      </c>
      <c r="E47" s="129" t="s">
        <v>83</v>
      </c>
      <c r="F47" s="546">
        <v>30000000</v>
      </c>
      <c r="G47" s="546">
        <v>30000000</v>
      </c>
      <c r="H47" s="340">
        <v>42563</v>
      </c>
      <c r="I47" s="216">
        <f t="shared" si="7"/>
        <v>42598</v>
      </c>
      <c r="J47" s="546">
        <v>30000000</v>
      </c>
      <c r="K47" s="340">
        <f t="shared" si="8"/>
        <v>42743</v>
      </c>
      <c r="L47" s="438"/>
      <c r="M47" s="107">
        <f t="shared" si="9"/>
        <v>30000000</v>
      </c>
      <c r="N47" s="34"/>
    </row>
    <row r="48" spans="1:17" s="17" customFormat="1">
      <c r="A48" s="129">
        <v>4646</v>
      </c>
      <c r="B48" s="129" t="s">
        <v>80</v>
      </c>
      <c r="C48" s="297" t="s">
        <v>184</v>
      </c>
      <c r="D48" s="52" t="s">
        <v>544</v>
      </c>
      <c r="E48" s="52" t="s">
        <v>418</v>
      </c>
      <c r="F48" s="315">
        <v>3300000</v>
      </c>
      <c r="G48" s="315">
        <v>3300000</v>
      </c>
      <c r="H48" s="406">
        <v>42598</v>
      </c>
      <c r="I48" s="340">
        <f t="shared" si="7"/>
        <v>42633</v>
      </c>
      <c r="J48" s="315">
        <v>3300000</v>
      </c>
      <c r="K48" s="340">
        <f t="shared" si="8"/>
        <v>42778</v>
      </c>
      <c r="L48" s="89"/>
      <c r="M48" s="107">
        <f t="shared" si="9"/>
        <v>3300000</v>
      </c>
      <c r="N48" s="148"/>
      <c r="Q48" s="64"/>
    </row>
    <row r="49" spans="1:20" s="17" customFormat="1">
      <c r="A49" s="129">
        <v>4647</v>
      </c>
      <c r="B49" s="129" t="s">
        <v>80</v>
      </c>
      <c r="C49" s="297" t="s">
        <v>184</v>
      </c>
      <c r="D49" s="297" t="s">
        <v>545</v>
      </c>
      <c r="E49" s="545" t="s">
        <v>416</v>
      </c>
      <c r="F49" s="315">
        <v>2200000</v>
      </c>
      <c r="G49" s="315">
        <v>2200000</v>
      </c>
      <c r="H49" s="406">
        <v>42598</v>
      </c>
      <c r="I49" s="340">
        <f t="shared" si="7"/>
        <v>42633</v>
      </c>
      <c r="J49" s="315">
        <v>2200000</v>
      </c>
      <c r="K49" s="340">
        <f t="shared" si="8"/>
        <v>42778</v>
      </c>
      <c r="L49" s="89"/>
      <c r="M49" s="107">
        <f t="shared" si="9"/>
        <v>2200000</v>
      </c>
      <c r="N49" s="15"/>
      <c r="Q49" s="64"/>
    </row>
    <row r="50" spans="1:20" s="17" customFormat="1">
      <c r="A50" s="129">
        <v>4648</v>
      </c>
      <c r="B50" s="129" t="s">
        <v>80</v>
      </c>
      <c r="C50" s="297" t="s">
        <v>184</v>
      </c>
      <c r="D50" s="52" t="s">
        <v>541</v>
      </c>
      <c r="E50" s="52" t="s">
        <v>83</v>
      </c>
      <c r="F50" s="315">
        <v>16500000</v>
      </c>
      <c r="G50" s="315">
        <v>16500000</v>
      </c>
      <c r="H50" s="406">
        <v>42598</v>
      </c>
      <c r="I50" s="340">
        <f t="shared" si="7"/>
        <v>42633</v>
      </c>
      <c r="J50" s="315">
        <v>16500000</v>
      </c>
      <c r="K50" s="340">
        <f t="shared" si="8"/>
        <v>42778</v>
      </c>
      <c r="L50" s="89"/>
      <c r="M50" s="107">
        <f t="shared" si="9"/>
        <v>16500000</v>
      </c>
      <c r="N50" s="15"/>
      <c r="Q50" s="64"/>
    </row>
    <row r="51" spans="1:20" s="17" customFormat="1">
      <c r="A51" s="129">
        <v>4649</v>
      </c>
      <c r="B51" s="129" t="s">
        <v>80</v>
      </c>
      <c r="C51" s="297" t="s">
        <v>184</v>
      </c>
      <c r="D51" s="52" t="s">
        <v>542</v>
      </c>
      <c r="E51" s="52" t="s">
        <v>272</v>
      </c>
      <c r="F51" s="315">
        <v>16500000</v>
      </c>
      <c r="G51" s="315">
        <v>16500000</v>
      </c>
      <c r="H51" s="406">
        <v>42598</v>
      </c>
      <c r="I51" s="340">
        <f t="shared" si="7"/>
        <v>42633</v>
      </c>
      <c r="J51" s="315">
        <v>16500000</v>
      </c>
      <c r="K51" s="340">
        <f t="shared" si="8"/>
        <v>42778</v>
      </c>
      <c r="L51" s="89"/>
      <c r="M51" s="107">
        <f t="shared" si="9"/>
        <v>16500000</v>
      </c>
      <c r="N51" s="15"/>
      <c r="Q51" s="64"/>
    </row>
    <row r="52" spans="1:20" s="36" customFormat="1">
      <c r="A52" s="129">
        <v>4650</v>
      </c>
      <c r="B52" s="129" t="s">
        <v>80</v>
      </c>
      <c r="C52" s="52" t="s">
        <v>509</v>
      </c>
      <c r="D52" s="129" t="s">
        <v>510</v>
      </c>
      <c r="E52" s="129" t="s">
        <v>511</v>
      </c>
      <c r="F52" s="412">
        <v>51757648</v>
      </c>
      <c r="G52" s="412">
        <v>51757648</v>
      </c>
      <c r="H52" s="408">
        <v>42598</v>
      </c>
      <c r="I52" s="408">
        <f t="shared" si="7"/>
        <v>42633</v>
      </c>
      <c r="J52" s="658">
        <v>51757648</v>
      </c>
      <c r="K52" s="408">
        <f t="shared" si="8"/>
        <v>42778</v>
      </c>
      <c r="L52" s="31"/>
      <c r="M52" s="107">
        <f t="shared" si="9"/>
        <v>51757648</v>
      </c>
      <c r="N52" s="34"/>
      <c r="O52" s="241"/>
    </row>
    <row r="53" spans="1:20" s="1" customFormat="1">
      <c r="A53" s="52">
        <v>4651</v>
      </c>
      <c r="B53" s="52" t="s">
        <v>80</v>
      </c>
      <c r="C53" s="297" t="s">
        <v>260</v>
      </c>
      <c r="D53" s="129" t="s">
        <v>424</v>
      </c>
      <c r="E53" s="129" t="s">
        <v>83</v>
      </c>
      <c r="F53" s="451">
        <v>50000000</v>
      </c>
      <c r="G53" s="451">
        <v>50000000</v>
      </c>
      <c r="H53" s="3">
        <v>42599</v>
      </c>
      <c r="I53" s="3">
        <f>H53+35</f>
        <v>42634</v>
      </c>
      <c r="J53" s="451">
        <v>50000000</v>
      </c>
      <c r="K53" s="3">
        <f>H53+180</f>
        <v>42779</v>
      </c>
      <c r="M53" s="107">
        <f t="shared" si="9"/>
        <v>50000000</v>
      </c>
      <c r="O53" s="3"/>
    </row>
    <row r="54" spans="1:20" s="1" customFormat="1">
      <c r="A54" s="52">
        <v>4652</v>
      </c>
      <c r="B54" s="52" t="s">
        <v>80</v>
      </c>
      <c r="C54" s="297" t="s">
        <v>315</v>
      </c>
      <c r="D54" s="129" t="s">
        <v>433</v>
      </c>
      <c r="E54" s="129" t="s">
        <v>317</v>
      </c>
      <c r="F54" s="614">
        <v>35000000</v>
      </c>
      <c r="G54" s="614">
        <v>35000000</v>
      </c>
      <c r="H54" s="3">
        <v>42599</v>
      </c>
      <c r="I54" s="3">
        <f t="shared" ref="I54" si="10">H54+35</f>
        <v>42634</v>
      </c>
      <c r="J54" s="614">
        <v>35000000</v>
      </c>
      <c r="K54" s="3">
        <f t="shared" ref="K54" si="11">H54+180</f>
        <v>42779</v>
      </c>
      <c r="L54" s="90"/>
      <c r="M54" s="107">
        <f t="shared" si="9"/>
        <v>35000000</v>
      </c>
    </row>
    <row r="55" spans="1:20" s="1" customFormat="1">
      <c r="A55" s="52">
        <v>4654</v>
      </c>
      <c r="B55" s="52" t="s">
        <v>80</v>
      </c>
      <c r="C55" s="595" t="s">
        <v>444</v>
      </c>
      <c r="D55" s="52" t="s">
        <v>445</v>
      </c>
      <c r="E55" s="52" t="s">
        <v>446</v>
      </c>
      <c r="F55" s="546">
        <v>25000000</v>
      </c>
      <c r="G55" s="451">
        <v>25000000</v>
      </c>
      <c r="H55" s="406">
        <v>42599</v>
      </c>
      <c r="I55" s="316">
        <f t="shared" ref="I55:I60" si="12">H55+35</f>
        <v>42634</v>
      </c>
      <c r="J55" s="451">
        <v>25000000</v>
      </c>
      <c r="K55" s="316">
        <f t="shared" ref="K55:K60" si="13">H55+180</f>
        <v>42779</v>
      </c>
      <c r="M55" s="107">
        <f t="shared" si="9"/>
        <v>25000000</v>
      </c>
    </row>
    <row r="56" spans="1:20" s="1" customFormat="1">
      <c r="A56" s="52">
        <v>4657</v>
      </c>
      <c r="B56" s="52" t="s">
        <v>80</v>
      </c>
      <c r="C56" s="129" t="s">
        <v>457</v>
      </c>
      <c r="D56" s="52" t="s">
        <v>458</v>
      </c>
      <c r="E56" s="52" t="s">
        <v>82</v>
      </c>
      <c r="F56" s="546">
        <v>50000000</v>
      </c>
      <c r="G56" s="451">
        <v>50000000</v>
      </c>
      <c r="H56" s="3">
        <v>42599</v>
      </c>
      <c r="I56" s="3">
        <f t="shared" ref="I56" si="14">H56+35</f>
        <v>42634</v>
      </c>
      <c r="J56" s="451">
        <v>50000000</v>
      </c>
      <c r="K56" s="3">
        <f t="shared" ref="K56" si="15">H56+180</f>
        <v>42779</v>
      </c>
      <c r="M56" s="107">
        <f t="shared" si="9"/>
        <v>50000000</v>
      </c>
    </row>
    <row r="57" spans="1:20" s="1" customFormat="1">
      <c r="A57" s="52">
        <v>4659</v>
      </c>
      <c r="B57" s="52" t="s">
        <v>80</v>
      </c>
      <c r="C57" s="129" t="s">
        <v>260</v>
      </c>
      <c r="D57" s="52" t="s">
        <v>462</v>
      </c>
      <c r="E57" s="52" t="s">
        <v>83</v>
      </c>
      <c r="F57" s="451">
        <v>10000000</v>
      </c>
      <c r="G57" s="451">
        <v>10000000</v>
      </c>
      <c r="H57" s="3">
        <v>42599</v>
      </c>
      <c r="I57" s="3">
        <f t="shared" ref="I57" si="16">H57+35</f>
        <v>42634</v>
      </c>
      <c r="J57" s="451">
        <v>10000000</v>
      </c>
      <c r="K57" s="3">
        <f t="shared" ref="K57" si="17">H57+180</f>
        <v>42779</v>
      </c>
      <c r="M57" s="107">
        <f t="shared" si="9"/>
        <v>10000000</v>
      </c>
    </row>
    <row r="58" spans="1:20" s="1" customFormat="1">
      <c r="A58" s="129">
        <v>4662</v>
      </c>
      <c r="B58" s="52" t="s">
        <v>80</v>
      </c>
      <c r="C58" s="129" t="s">
        <v>79</v>
      </c>
      <c r="D58" s="129" t="s">
        <v>469</v>
      </c>
      <c r="E58" s="129" t="s">
        <v>82</v>
      </c>
      <c r="F58" s="614">
        <v>45000000</v>
      </c>
      <c r="G58" s="412">
        <v>45000000</v>
      </c>
      <c r="H58" s="406">
        <v>42609</v>
      </c>
      <c r="I58" s="3">
        <f t="shared" ref="I58" si="18">H58+35</f>
        <v>42644</v>
      </c>
      <c r="J58" s="412">
        <v>45000000</v>
      </c>
      <c r="K58" s="3">
        <f t="shared" ref="K58" si="19">H58+180</f>
        <v>42789</v>
      </c>
      <c r="M58" s="107">
        <f t="shared" si="9"/>
        <v>45000000</v>
      </c>
    </row>
    <row r="59" spans="1:20" s="1" customFormat="1">
      <c r="A59" s="129">
        <v>4664</v>
      </c>
      <c r="B59" s="52" t="s">
        <v>80</v>
      </c>
      <c r="C59" s="52" t="s">
        <v>391</v>
      </c>
      <c r="D59" s="52" t="s">
        <v>483</v>
      </c>
      <c r="E59" s="129" t="s">
        <v>393</v>
      </c>
      <c r="F59" s="546">
        <v>30000000</v>
      </c>
      <c r="G59" s="546">
        <v>30000000</v>
      </c>
      <c r="H59" s="3">
        <v>42613</v>
      </c>
      <c r="I59" s="3">
        <f t="shared" ref="I59" si="20">H59+35</f>
        <v>42648</v>
      </c>
      <c r="J59" s="546">
        <v>30000000</v>
      </c>
      <c r="K59" s="3">
        <f t="shared" ref="K59" si="21">H59+180</f>
        <v>42793</v>
      </c>
      <c r="M59" s="107">
        <f t="shared" si="9"/>
        <v>30000000</v>
      </c>
    </row>
    <row r="60" spans="1:20" s="1" customFormat="1">
      <c r="A60" s="371">
        <v>4665</v>
      </c>
      <c r="B60" s="52" t="s">
        <v>80</v>
      </c>
      <c r="C60" s="52" t="s">
        <v>292</v>
      </c>
      <c r="D60" s="52" t="s">
        <v>332</v>
      </c>
      <c r="E60" s="129" t="s">
        <v>159</v>
      </c>
      <c r="F60" s="546">
        <v>30000000</v>
      </c>
      <c r="G60" s="546">
        <v>30000000</v>
      </c>
      <c r="H60" s="406">
        <v>42616</v>
      </c>
      <c r="I60" s="3">
        <f t="shared" si="12"/>
        <v>42651</v>
      </c>
      <c r="J60" s="546">
        <v>30000000</v>
      </c>
      <c r="K60" s="3">
        <f t="shared" si="13"/>
        <v>42796</v>
      </c>
      <c r="L60" s="619"/>
      <c r="M60" s="107">
        <f t="shared" si="9"/>
        <v>30000000</v>
      </c>
    </row>
    <row r="61" spans="1:20" s="1" customFormat="1">
      <c r="A61" s="371">
        <v>4666</v>
      </c>
      <c r="B61" s="52" t="s">
        <v>80</v>
      </c>
      <c r="C61" s="129" t="s">
        <v>79</v>
      </c>
      <c r="D61" s="129" t="s">
        <v>491</v>
      </c>
      <c r="E61" s="129" t="s">
        <v>82</v>
      </c>
      <c r="F61" s="614">
        <v>35000000</v>
      </c>
      <c r="G61" s="412">
        <v>35000000</v>
      </c>
      <c r="H61" s="406">
        <v>42628</v>
      </c>
      <c r="I61" s="3">
        <f t="shared" ref="I61" si="22">H61+35</f>
        <v>42663</v>
      </c>
      <c r="J61" s="412">
        <v>35000000</v>
      </c>
      <c r="K61" s="3">
        <f t="shared" ref="K61" si="23">H61+180</f>
        <v>42808</v>
      </c>
      <c r="M61" s="107">
        <f t="shared" si="9"/>
        <v>35000000</v>
      </c>
      <c r="N61" s="3"/>
    </row>
    <row r="62" spans="1:20" s="1" customFormat="1">
      <c r="A62" s="371">
        <v>4667</v>
      </c>
      <c r="B62" s="52" t="s">
        <v>80</v>
      </c>
      <c r="C62" s="129" t="s">
        <v>79</v>
      </c>
      <c r="D62" s="129" t="s">
        <v>493</v>
      </c>
      <c r="E62" s="129" t="s">
        <v>85</v>
      </c>
      <c r="F62" s="614">
        <v>35000000</v>
      </c>
      <c r="G62" s="412">
        <v>35000000</v>
      </c>
      <c r="H62" s="3">
        <v>42628</v>
      </c>
      <c r="I62" s="3">
        <f t="shared" ref="I62" si="24">H62+35</f>
        <v>42663</v>
      </c>
      <c r="J62" s="412">
        <v>35000000</v>
      </c>
      <c r="K62" s="3">
        <f t="shared" ref="K62" si="25">H62+180</f>
        <v>42808</v>
      </c>
      <c r="M62" s="107">
        <f t="shared" si="9"/>
        <v>35000000</v>
      </c>
    </row>
    <row r="63" spans="1:20" s="17" customFormat="1">
      <c r="A63" s="371">
        <v>4669</v>
      </c>
      <c r="B63" s="52" t="s">
        <v>80</v>
      </c>
      <c r="C63" s="52" t="s">
        <v>497</v>
      </c>
      <c r="D63" s="52" t="s">
        <v>498</v>
      </c>
      <c r="E63" s="129" t="s">
        <v>85</v>
      </c>
      <c r="F63" s="412">
        <v>35000000</v>
      </c>
      <c r="G63" s="412">
        <v>35000000</v>
      </c>
      <c r="H63" s="3">
        <v>42628</v>
      </c>
      <c r="I63" s="3">
        <f t="shared" ref="I63" si="26">H63+35</f>
        <v>42663</v>
      </c>
      <c r="J63" s="412">
        <v>35000000</v>
      </c>
      <c r="K63" s="3">
        <f t="shared" ref="K63" si="27">H63+180</f>
        <v>42808</v>
      </c>
      <c r="M63" s="107">
        <f t="shared" si="9"/>
        <v>35000000</v>
      </c>
      <c r="N63" s="34"/>
      <c r="O63" s="36"/>
      <c r="P63" s="36"/>
      <c r="Q63" s="36"/>
      <c r="R63" s="36"/>
      <c r="S63" s="36"/>
      <c r="T63" s="36"/>
    </row>
    <row r="64" spans="1:20" s="17" customFormat="1">
      <c r="A64" s="371">
        <v>4670</v>
      </c>
      <c r="B64" s="52" t="s">
        <v>80</v>
      </c>
      <c r="C64" s="129" t="s">
        <v>79</v>
      </c>
      <c r="D64" s="129" t="s">
        <v>504</v>
      </c>
      <c r="E64" s="129" t="s">
        <v>238</v>
      </c>
      <c r="F64" s="614">
        <v>14000000</v>
      </c>
      <c r="G64" s="412">
        <v>14000000</v>
      </c>
      <c r="H64" s="406">
        <v>42628</v>
      </c>
      <c r="I64" s="3">
        <f t="shared" ref="I64" si="28">H64+35</f>
        <v>42663</v>
      </c>
      <c r="J64" s="412">
        <v>14000000</v>
      </c>
      <c r="K64" s="3">
        <f t="shared" ref="K64" si="29">H64+180</f>
        <v>42808</v>
      </c>
      <c r="M64" s="107">
        <f t="shared" si="9"/>
        <v>14000000</v>
      </c>
      <c r="N64" s="34"/>
      <c r="O64" s="36"/>
      <c r="P64" s="36"/>
      <c r="Q64" s="36"/>
      <c r="R64" s="36"/>
      <c r="S64" s="36"/>
      <c r="T64" s="36"/>
    </row>
    <row r="65" spans="1:20" s="17" customFormat="1">
      <c r="A65" s="371">
        <v>4672</v>
      </c>
      <c r="B65" s="52" t="s">
        <v>80</v>
      </c>
      <c r="C65" s="52" t="s">
        <v>290</v>
      </c>
      <c r="D65" s="52" t="s">
        <v>518</v>
      </c>
      <c r="E65" s="129" t="s">
        <v>83</v>
      </c>
      <c r="F65" s="451">
        <v>22000000</v>
      </c>
      <c r="G65" s="451">
        <v>22000000</v>
      </c>
      <c r="H65" s="653">
        <v>42658</v>
      </c>
      <c r="I65" s="340">
        <f t="shared" ref="I65:I74" si="30">H65+35</f>
        <v>42693</v>
      </c>
      <c r="J65" s="451">
        <v>22000000</v>
      </c>
      <c r="K65" s="316">
        <f t="shared" ref="K65:K74" si="31">H65+180</f>
        <v>42838</v>
      </c>
      <c r="M65" s="107">
        <f t="shared" si="9"/>
        <v>22000000</v>
      </c>
      <c r="N65" s="34"/>
      <c r="O65" s="36"/>
      <c r="P65" s="36"/>
      <c r="Q65" s="36"/>
      <c r="R65" s="36"/>
      <c r="S65" s="36"/>
      <c r="T65" s="36"/>
    </row>
    <row r="66" spans="1:20" s="17" customFormat="1">
      <c r="A66" s="371">
        <v>4673</v>
      </c>
      <c r="B66" s="52" t="s">
        <v>80</v>
      </c>
      <c r="C66" s="52" t="s">
        <v>520</v>
      </c>
      <c r="D66" s="129" t="s">
        <v>521</v>
      </c>
      <c r="E66" s="129" t="s">
        <v>522</v>
      </c>
      <c r="F66" s="412">
        <v>14000000</v>
      </c>
      <c r="G66" s="412">
        <v>14000000</v>
      </c>
      <c r="H66" s="635">
        <v>42658</v>
      </c>
      <c r="I66" s="340">
        <f t="shared" ref="I66" si="32">H66+35</f>
        <v>42693</v>
      </c>
      <c r="J66" s="412">
        <v>14000000</v>
      </c>
      <c r="K66" s="316">
        <f t="shared" ref="K66" si="33">H66+180</f>
        <v>42838</v>
      </c>
      <c r="M66" s="107">
        <f t="shared" si="9"/>
        <v>14000000</v>
      </c>
      <c r="N66" s="34"/>
      <c r="O66" s="36"/>
      <c r="P66" s="36"/>
      <c r="Q66" s="36"/>
      <c r="R66" s="36"/>
      <c r="S66" s="36"/>
      <c r="T66" s="36"/>
    </row>
    <row r="67" spans="1:20" s="650" customFormat="1">
      <c r="A67" s="371">
        <v>4674</v>
      </c>
      <c r="B67" s="559" t="s">
        <v>80</v>
      </c>
      <c r="C67" s="371" t="s">
        <v>79</v>
      </c>
      <c r="D67" s="371" t="s">
        <v>526</v>
      </c>
      <c r="E67" s="371" t="s">
        <v>180</v>
      </c>
      <c r="F67" s="652">
        <v>18000000</v>
      </c>
      <c r="G67" s="651">
        <v>18000000</v>
      </c>
      <c r="H67" s="654">
        <v>42658</v>
      </c>
      <c r="I67" s="636">
        <f t="shared" ref="I67:I68" si="34">H67+35</f>
        <v>42693</v>
      </c>
      <c r="J67" s="651">
        <v>18000000</v>
      </c>
      <c r="K67" s="637">
        <f t="shared" ref="K67:K68" si="35">H67+180</f>
        <v>42838</v>
      </c>
      <c r="M67" s="107">
        <f t="shared" si="9"/>
        <v>18000000</v>
      </c>
      <c r="N67" s="641"/>
      <c r="O67" s="400"/>
      <c r="P67" s="400"/>
      <c r="Q67" s="400"/>
      <c r="R67" s="400"/>
      <c r="S67" s="400"/>
      <c r="T67" s="400"/>
    </row>
    <row r="68" spans="1:20" s="650" customFormat="1">
      <c r="A68" s="371">
        <v>4675</v>
      </c>
      <c r="B68" s="559" t="s">
        <v>80</v>
      </c>
      <c r="C68" s="371" t="s">
        <v>79</v>
      </c>
      <c r="D68" s="371" t="s">
        <v>527</v>
      </c>
      <c r="E68" s="371" t="s">
        <v>82</v>
      </c>
      <c r="F68" s="652">
        <v>25000000</v>
      </c>
      <c r="G68" s="651">
        <v>25000000</v>
      </c>
      <c r="H68" s="654">
        <v>42658</v>
      </c>
      <c r="I68" s="636">
        <f t="shared" si="34"/>
        <v>42693</v>
      </c>
      <c r="J68" s="651">
        <v>25000000</v>
      </c>
      <c r="K68" s="637">
        <f t="shared" si="35"/>
        <v>42838</v>
      </c>
      <c r="L68" s="640"/>
      <c r="M68" s="107">
        <f t="shared" si="9"/>
        <v>25000000</v>
      </c>
      <c r="N68" s="641"/>
      <c r="O68" s="400"/>
      <c r="P68" s="400"/>
      <c r="Q68" s="400"/>
      <c r="R68" s="400"/>
      <c r="S68" s="400"/>
      <c r="T68" s="400"/>
    </row>
    <row r="69" spans="1:20" s="400" customFormat="1">
      <c r="A69" s="371">
        <v>4676</v>
      </c>
      <c r="B69" s="52" t="s">
        <v>80</v>
      </c>
      <c r="C69" s="371" t="s">
        <v>79</v>
      </c>
      <c r="D69" s="371" t="s">
        <v>566</v>
      </c>
      <c r="E69" s="371" t="s">
        <v>83</v>
      </c>
      <c r="F69" s="412">
        <v>20000000</v>
      </c>
      <c r="G69" s="412">
        <v>20000000</v>
      </c>
      <c r="H69" s="634">
        <v>42658</v>
      </c>
      <c r="I69" s="636">
        <f t="shared" ref="I69" si="36">H69+35</f>
        <v>42693</v>
      </c>
      <c r="J69" s="412">
        <v>20000000</v>
      </c>
      <c r="K69" s="637">
        <f t="shared" ref="K69" si="37">H69+180</f>
        <v>42838</v>
      </c>
      <c r="M69" s="107">
        <f t="shared" si="9"/>
        <v>20000000</v>
      </c>
      <c r="N69" s="641"/>
      <c r="O69" s="656"/>
    </row>
    <row r="70" spans="1:20" s="400" customFormat="1">
      <c r="A70" s="371">
        <v>4678</v>
      </c>
      <c r="B70" s="559" t="s">
        <v>80</v>
      </c>
      <c r="C70" s="559" t="s">
        <v>224</v>
      </c>
      <c r="D70" s="559" t="s">
        <v>404</v>
      </c>
      <c r="E70" s="559" t="s">
        <v>85</v>
      </c>
      <c r="F70" s="412">
        <v>20000000</v>
      </c>
      <c r="G70" s="412">
        <v>20000000</v>
      </c>
      <c r="H70" s="634">
        <v>42658</v>
      </c>
      <c r="I70" s="636">
        <f t="shared" ref="I70" si="38">H70+35</f>
        <v>42693</v>
      </c>
      <c r="J70" s="412">
        <v>20000000</v>
      </c>
      <c r="K70" s="637">
        <f t="shared" ref="K70" si="39">H70+180</f>
        <v>42838</v>
      </c>
      <c r="M70" s="107">
        <f t="shared" si="9"/>
        <v>20000000</v>
      </c>
      <c r="N70" s="641"/>
      <c r="O70" s="656"/>
    </row>
    <row r="71" spans="1:20" s="17" customFormat="1">
      <c r="A71" s="129">
        <v>4681</v>
      </c>
      <c r="B71" s="559" t="s">
        <v>80</v>
      </c>
      <c r="C71" s="297" t="s">
        <v>184</v>
      </c>
      <c r="D71" s="52" t="s">
        <v>547</v>
      </c>
      <c r="E71" s="52" t="s">
        <v>511</v>
      </c>
      <c r="F71" s="546">
        <v>37500000</v>
      </c>
      <c r="G71" s="451">
        <v>37500000</v>
      </c>
      <c r="H71" s="655">
        <v>42662</v>
      </c>
      <c r="I71" s="636">
        <f t="shared" si="30"/>
        <v>42697</v>
      </c>
      <c r="J71" s="451">
        <v>37500000</v>
      </c>
      <c r="K71" s="637">
        <f t="shared" si="31"/>
        <v>42842</v>
      </c>
      <c r="L71" s="618"/>
      <c r="M71" s="107">
        <f t="shared" si="9"/>
        <v>37500000</v>
      </c>
      <c r="N71" s="15"/>
      <c r="Q71" s="64"/>
    </row>
    <row r="72" spans="1:20" s="129" customFormat="1">
      <c r="A72" s="129">
        <v>4682</v>
      </c>
      <c r="B72" s="559" t="s">
        <v>80</v>
      </c>
      <c r="C72" s="297" t="s">
        <v>550</v>
      </c>
      <c r="D72" s="129" t="s">
        <v>549</v>
      </c>
      <c r="E72" s="129" t="s">
        <v>85</v>
      </c>
      <c r="F72" s="546">
        <v>50000000</v>
      </c>
      <c r="G72" s="546">
        <v>50000000</v>
      </c>
      <c r="H72" s="635">
        <v>42664</v>
      </c>
      <c r="I72" s="340">
        <f t="shared" ref="I72" si="40">H72+35</f>
        <v>42699</v>
      </c>
      <c r="J72" s="546">
        <v>50000000</v>
      </c>
      <c r="K72" s="635">
        <f t="shared" ref="K72" si="41">H72+180</f>
        <v>42844</v>
      </c>
      <c r="M72" s="107">
        <f t="shared" si="9"/>
        <v>50000000</v>
      </c>
      <c r="N72" s="346"/>
    </row>
    <row r="73" spans="1:20" s="129" customFormat="1">
      <c r="A73" s="129">
        <v>4684</v>
      </c>
      <c r="B73" s="559" t="s">
        <v>80</v>
      </c>
      <c r="C73" s="297" t="s">
        <v>281</v>
      </c>
      <c r="D73" s="129" t="s">
        <v>555</v>
      </c>
      <c r="E73" s="129" t="s">
        <v>85</v>
      </c>
      <c r="F73" s="614">
        <v>38000000</v>
      </c>
      <c r="G73" s="412">
        <v>38000000</v>
      </c>
      <c r="H73" s="635">
        <v>42672</v>
      </c>
      <c r="I73" s="340">
        <f t="shared" ref="I73" si="42">H73+35</f>
        <v>42707</v>
      </c>
      <c r="J73" s="412">
        <v>38000000</v>
      </c>
      <c r="K73" s="635">
        <f t="shared" ref="K73" si="43">H73+180</f>
        <v>42852</v>
      </c>
      <c r="M73" s="107">
        <f t="shared" si="9"/>
        <v>38000000</v>
      </c>
      <c r="N73" s="346"/>
      <c r="P73" s="346"/>
      <c r="R73" s="346"/>
    </row>
    <row r="74" spans="1:20" s="129" customFormat="1">
      <c r="A74" s="129">
        <v>4685</v>
      </c>
      <c r="B74" s="559" t="s">
        <v>80</v>
      </c>
      <c r="C74" s="297" t="s">
        <v>281</v>
      </c>
      <c r="D74" s="129" t="s">
        <v>557</v>
      </c>
      <c r="E74" s="129" t="s">
        <v>85</v>
      </c>
      <c r="F74" s="614">
        <v>38000000</v>
      </c>
      <c r="G74" s="412">
        <v>38000000</v>
      </c>
      <c r="H74" s="635">
        <v>42676</v>
      </c>
      <c r="I74" s="340">
        <f t="shared" si="30"/>
        <v>42711</v>
      </c>
      <c r="J74" s="412">
        <v>38000000</v>
      </c>
      <c r="K74" s="635">
        <f t="shared" si="31"/>
        <v>42856</v>
      </c>
      <c r="L74" s="90"/>
      <c r="M74" s="107">
        <f t="shared" si="9"/>
        <v>38000000</v>
      </c>
      <c r="N74" s="346"/>
      <c r="O74" s="346"/>
      <c r="P74" s="346"/>
    </row>
    <row r="75" spans="1:20" s="1" customFormat="1">
      <c r="A75" s="36"/>
      <c r="B75" s="129"/>
      <c r="C75" s="297"/>
      <c r="D75" s="297"/>
      <c r="E75" s="297"/>
      <c r="F75" s="101"/>
      <c r="G75" s="101"/>
      <c r="H75" s="3"/>
      <c r="I75" s="3"/>
      <c r="J75" s="13"/>
      <c r="K75" s="3"/>
      <c r="L75" s="366"/>
      <c r="M75" s="466"/>
    </row>
    <row r="76" spans="1:20" s="1" customFormat="1">
      <c r="A76" s="36"/>
      <c r="B76" s="129"/>
      <c r="C76" s="297"/>
      <c r="D76" s="297"/>
      <c r="E76" s="297"/>
      <c r="F76" s="101"/>
      <c r="G76" s="101"/>
      <c r="H76" s="3"/>
      <c r="I76" s="3"/>
      <c r="J76" s="108">
        <f>SUM(J45:J75)</f>
        <v>851757648</v>
      </c>
      <c r="K76" s="8"/>
      <c r="L76" s="108">
        <f>SUM(L45:L75)</f>
        <v>0</v>
      </c>
      <c r="M76" s="108">
        <f>SUM(M45:M75)</f>
        <v>851757648</v>
      </c>
    </row>
    <row r="77" spans="1:20">
      <c r="F77" s="392"/>
      <c r="G77" s="392"/>
      <c r="H77" s="392"/>
      <c r="I77" s="392"/>
      <c r="J77" s="392"/>
      <c r="K77" s="392"/>
    </row>
    <row r="78" spans="1:20">
      <c r="A78" s="432" t="s">
        <v>62</v>
      </c>
      <c r="F78" s="392"/>
      <c r="G78" s="410"/>
      <c r="H78" s="316"/>
      <c r="I78" s="392"/>
      <c r="J78" s="392"/>
      <c r="K78" s="392"/>
    </row>
    <row r="79" spans="1:20" s="129" customFormat="1">
      <c r="A79" s="129">
        <v>4686</v>
      </c>
      <c r="B79" s="559" t="s">
        <v>80</v>
      </c>
      <c r="C79" s="297" t="s">
        <v>273</v>
      </c>
      <c r="D79" s="129" t="s">
        <v>559</v>
      </c>
      <c r="E79" s="129" t="s">
        <v>192</v>
      </c>
      <c r="F79" s="622">
        <v>100000000</v>
      </c>
      <c r="G79" s="500">
        <v>43375000</v>
      </c>
      <c r="H79" s="635">
        <v>42686</v>
      </c>
      <c r="I79" s="340">
        <f t="shared" ref="I79" si="44">H79+35</f>
        <v>42721</v>
      </c>
      <c r="J79" s="500">
        <v>43375000</v>
      </c>
      <c r="K79" s="635">
        <f>H79+210</f>
        <v>42896</v>
      </c>
      <c r="L79" s="500"/>
      <c r="M79" s="107">
        <f t="shared" ref="M79" si="45">J79-L79</f>
        <v>43375000</v>
      </c>
      <c r="N79" s="346"/>
      <c r="O79" s="657"/>
    </row>
    <row r="80" spans="1:20">
      <c r="O80" s="433"/>
    </row>
    <row r="81" spans="9:13">
      <c r="I81" s="433"/>
      <c r="J81" s="108">
        <f>SUM(J79:J80)</f>
        <v>43375000</v>
      </c>
      <c r="K81" s="394"/>
      <c r="L81" s="108">
        <f>SUM(L79:L80)</f>
        <v>0</v>
      </c>
      <c r="M81" s="108">
        <f>SUM(M79:M80)</f>
        <v>43375000</v>
      </c>
    </row>
    <row r="82" spans="9:13">
      <c r="I82" s="433"/>
    </row>
    <row r="87" spans="9:13">
      <c r="L87" s="421">
        <f>M81+M76+M41+F24</f>
        <v>1844727688.3000002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26"/>
  <sheetViews>
    <sheetView zoomScaleNormal="100" workbookViewId="0">
      <selection activeCell="G10" sqref="G10"/>
    </sheetView>
  </sheetViews>
  <sheetFormatPr defaultColWidth="10.85546875" defaultRowHeight="12"/>
  <cols>
    <col min="1" max="1" width="14.42578125" style="17" bestFit="1" customWidth="1"/>
    <col min="2" max="2" width="8.28515625" style="17" bestFit="1" customWidth="1"/>
    <col min="3" max="3" width="13" style="17" bestFit="1" customWidth="1"/>
    <col min="4" max="4" width="15.7109375" style="17" bestFit="1" customWidth="1"/>
    <col min="5" max="5" width="10.28515625" style="17" bestFit="1" customWidth="1"/>
    <col min="6" max="6" width="13.85546875" style="16" bestFit="1" customWidth="1"/>
    <col min="7" max="7" width="13.28515625" style="42" bestFit="1" customWidth="1"/>
    <col min="8" max="8" width="13.7109375" style="17" customWidth="1"/>
    <col min="9" max="9" width="10" style="17" bestFit="1" customWidth="1"/>
    <col min="10" max="10" width="13.28515625" style="42" bestFit="1" customWidth="1"/>
    <col min="11" max="11" width="9.140625" style="17" customWidth="1"/>
    <col min="12" max="12" width="13" style="16" bestFit="1" customWidth="1"/>
    <col min="13" max="13" width="14.42578125" style="16" customWidth="1"/>
    <col min="14" max="14" width="12" style="17" bestFit="1" customWidth="1"/>
    <col min="15" max="16384" width="10.85546875" style="17"/>
  </cols>
  <sheetData>
    <row r="1" spans="1:20" s="28" customFormat="1">
      <c r="A1" s="245" t="s">
        <v>12</v>
      </c>
      <c r="C1" s="25">
        <v>36027889.567599997</v>
      </c>
      <c r="D1" s="25"/>
      <c r="E1" s="25"/>
      <c r="F1" s="53"/>
      <c r="G1" s="54"/>
      <c r="H1" s="26"/>
      <c r="I1" s="26"/>
      <c r="J1" s="54"/>
      <c r="K1" s="26"/>
      <c r="L1" s="53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76</v>
      </c>
      <c r="C2" s="43"/>
      <c r="D2" s="43"/>
      <c r="E2" s="43"/>
      <c r="F2" s="55"/>
      <c r="G2" s="56"/>
      <c r="H2" s="34"/>
      <c r="I2" s="34"/>
      <c r="J2" s="56"/>
      <c r="K2" s="34"/>
      <c r="L2" s="55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56"/>
      <c r="K3" s="34"/>
      <c r="L3" s="55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56" t="s">
        <v>4</v>
      </c>
      <c r="K4" s="34" t="s">
        <v>346</v>
      </c>
      <c r="L4" s="55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56" t="s">
        <v>44</v>
      </c>
      <c r="K5" s="34" t="s">
        <v>18</v>
      </c>
      <c r="L5" s="55" t="s">
        <v>44</v>
      </c>
      <c r="M5" s="55" t="s">
        <v>44</v>
      </c>
      <c r="N5" s="102" t="s">
        <v>5</v>
      </c>
    </row>
    <row r="6" spans="1:20" s="5" customFormat="1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50"/>
      <c r="K6" s="117"/>
      <c r="L6" s="63"/>
      <c r="M6" s="63"/>
      <c r="N6" s="119" t="s">
        <v>9</v>
      </c>
      <c r="O6" s="10"/>
      <c r="P6" s="10"/>
      <c r="Q6" s="10"/>
      <c r="R6" s="10"/>
      <c r="S6" s="10"/>
      <c r="T6" s="10"/>
    </row>
    <row r="7" spans="1:20">
      <c r="A7" s="1"/>
      <c r="B7" s="1"/>
      <c r="C7" s="1"/>
      <c r="D7" s="1"/>
      <c r="E7" s="1"/>
      <c r="F7" s="107"/>
      <c r="G7" s="107"/>
      <c r="H7" s="15"/>
      <c r="I7" s="471"/>
      <c r="J7" s="31"/>
      <c r="K7" s="471"/>
      <c r="L7" s="42"/>
      <c r="M7" s="107"/>
      <c r="N7" s="15"/>
    </row>
    <row r="8" spans="1:20" s="11" customFormat="1">
      <c r="A8" s="17" t="s">
        <v>2</v>
      </c>
      <c r="B8" s="17"/>
      <c r="C8" s="40"/>
      <c r="D8" s="17" t="s">
        <v>19</v>
      </c>
      <c r="E8" s="17"/>
      <c r="F8" s="94">
        <f>SUM(F7:F7)</f>
        <v>0</v>
      </c>
      <c r="G8" s="125">
        <f>SUM(G7:G7)</f>
        <v>0</v>
      </c>
      <c r="H8" s="15"/>
      <c r="I8" s="15"/>
      <c r="J8" s="125">
        <f>SUM(J7:J7)</f>
        <v>0</v>
      </c>
      <c r="K8" s="15"/>
      <c r="L8" s="95">
        <f>SUM(L7:L7)</f>
        <v>0</v>
      </c>
      <c r="M8" s="95">
        <f>SUM(M7:M7)</f>
        <v>0</v>
      </c>
      <c r="N8" s="15"/>
    </row>
    <row r="9" spans="1:20">
      <c r="F9" s="89"/>
      <c r="G9" s="97"/>
      <c r="H9" s="15"/>
      <c r="I9" s="15"/>
      <c r="J9" s="64"/>
      <c r="K9" s="15"/>
      <c r="N9" s="15"/>
      <c r="O9" s="1"/>
      <c r="P9" s="1"/>
      <c r="Q9" s="1"/>
      <c r="R9" s="1"/>
      <c r="S9" s="1"/>
      <c r="T9" s="1"/>
    </row>
    <row r="10" spans="1:20">
      <c r="D10" s="17" t="s">
        <v>45</v>
      </c>
      <c r="F10" s="89">
        <f>SUM(F8-G8)</f>
        <v>0</v>
      </c>
      <c r="G10" s="97"/>
      <c r="H10" s="15"/>
      <c r="I10" s="15"/>
      <c r="J10" s="64"/>
      <c r="K10" s="15"/>
      <c r="N10" s="15"/>
      <c r="O10" s="1"/>
      <c r="P10" s="1"/>
      <c r="Q10" s="1"/>
      <c r="R10" s="1"/>
      <c r="S10" s="1"/>
      <c r="T10" s="1"/>
    </row>
    <row r="11" spans="1:20">
      <c r="F11" s="89"/>
      <c r="G11" s="97"/>
      <c r="H11" s="15"/>
      <c r="I11" s="15"/>
      <c r="J11" s="64"/>
      <c r="K11" s="15"/>
      <c r="N11" s="15"/>
      <c r="O11" s="1"/>
      <c r="P11" s="1"/>
      <c r="Q11" s="1"/>
      <c r="R11" s="1"/>
      <c r="S11" s="1"/>
      <c r="T11" s="1"/>
    </row>
    <row r="12" spans="1:20">
      <c r="D12" s="271" t="s">
        <v>78</v>
      </c>
      <c r="F12" s="94">
        <f>+C1-G8+M8</f>
        <v>36027889.567599997</v>
      </c>
      <c r="G12" s="146" t="s">
        <v>570</v>
      </c>
      <c r="H12" s="15"/>
      <c r="I12" s="15"/>
      <c r="J12" s="64"/>
      <c r="K12" s="15"/>
      <c r="N12" s="15"/>
      <c r="O12" s="1"/>
      <c r="P12" s="1"/>
      <c r="Q12" s="1"/>
      <c r="R12" s="1"/>
      <c r="S12" s="1"/>
      <c r="T12" s="1"/>
    </row>
    <row r="19" spans="5:8">
      <c r="E19" s="51"/>
    </row>
    <row r="26" spans="5:8">
      <c r="H26" s="42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27"/>
  <sheetViews>
    <sheetView zoomScaleNormal="100" workbookViewId="0">
      <selection activeCell="G13" sqref="G13"/>
    </sheetView>
  </sheetViews>
  <sheetFormatPr defaultColWidth="10.85546875" defaultRowHeight="12"/>
  <cols>
    <col min="1" max="1" width="8" style="17" customWidth="1"/>
    <col min="2" max="2" width="8.28515625" style="17" bestFit="1" customWidth="1"/>
    <col min="3" max="3" width="27.28515625" style="17" bestFit="1" customWidth="1"/>
    <col min="4" max="4" width="20.28515625" style="17" bestFit="1" customWidth="1"/>
    <col min="5" max="5" width="10.28515625" style="17" bestFit="1" customWidth="1"/>
    <col min="6" max="6" width="13.28515625" style="16" bestFit="1" customWidth="1"/>
    <col min="7" max="7" width="13.28515625" style="42" bestFit="1" customWidth="1"/>
    <col min="8" max="8" width="13.7109375" style="17" customWidth="1"/>
    <col min="9" max="9" width="10" style="17" bestFit="1" customWidth="1"/>
    <col min="10" max="10" width="13.28515625" style="42" bestFit="1" customWidth="1"/>
    <col min="11" max="11" width="9.140625" style="17" customWidth="1"/>
    <col min="12" max="12" width="13" style="16" bestFit="1" customWidth="1"/>
    <col min="13" max="13" width="14.42578125" style="16" customWidth="1"/>
    <col min="14" max="14" width="12" style="17" bestFit="1" customWidth="1"/>
    <col min="15" max="16384" width="10.85546875" style="17"/>
  </cols>
  <sheetData>
    <row r="1" spans="1:20" s="28" customFormat="1">
      <c r="A1" s="245" t="s">
        <v>12</v>
      </c>
      <c r="C1" s="25">
        <v>14097869.830800001</v>
      </c>
      <c r="D1" s="25"/>
      <c r="E1" s="25"/>
      <c r="F1" s="53"/>
      <c r="G1" s="54"/>
      <c r="H1" s="26"/>
      <c r="I1" s="26"/>
      <c r="J1" s="54"/>
      <c r="K1" s="26"/>
      <c r="L1" s="53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75</v>
      </c>
      <c r="C2" s="43"/>
      <c r="D2" s="43"/>
      <c r="E2" s="43"/>
      <c r="F2" s="55"/>
      <c r="G2" s="56"/>
      <c r="H2" s="34"/>
      <c r="I2" s="34"/>
      <c r="J2" s="56"/>
      <c r="K2" s="34"/>
      <c r="L2" s="55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56"/>
      <c r="K3" s="34"/>
      <c r="L3" s="55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56" t="s">
        <v>4</v>
      </c>
      <c r="K4" s="34" t="s">
        <v>346</v>
      </c>
      <c r="L4" s="55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56" t="s">
        <v>44</v>
      </c>
      <c r="K5" s="34" t="s">
        <v>18</v>
      </c>
      <c r="L5" s="55" t="s">
        <v>44</v>
      </c>
      <c r="M5" s="55" t="s">
        <v>44</v>
      </c>
      <c r="N5" s="102" t="s">
        <v>5</v>
      </c>
    </row>
    <row r="6" spans="1:20" s="5" customFormat="1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50"/>
      <c r="K6" s="117"/>
      <c r="L6" s="63"/>
      <c r="M6" s="63"/>
      <c r="N6" s="119" t="s">
        <v>9</v>
      </c>
      <c r="O6" s="10"/>
      <c r="P6" s="10"/>
      <c r="Q6" s="10"/>
      <c r="R6" s="10"/>
      <c r="S6" s="10"/>
      <c r="T6" s="10"/>
    </row>
    <row r="7" spans="1:20" s="5" customFormat="1">
      <c r="A7" s="36" t="s">
        <v>390</v>
      </c>
      <c r="B7" s="36" t="s">
        <v>45</v>
      </c>
      <c r="C7" s="36" t="s">
        <v>391</v>
      </c>
      <c r="D7" s="36" t="s">
        <v>392</v>
      </c>
      <c r="E7" s="36" t="s">
        <v>393</v>
      </c>
      <c r="F7" s="72"/>
      <c r="G7" s="56"/>
      <c r="H7" s="34"/>
      <c r="I7" s="34"/>
      <c r="J7" s="56"/>
      <c r="K7" s="34"/>
      <c r="L7" s="55"/>
      <c r="M7" s="55"/>
      <c r="N7" s="34"/>
      <c r="O7" s="10"/>
      <c r="P7" s="10"/>
      <c r="Q7" s="10"/>
      <c r="R7" s="10"/>
      <c r="S7" s="10"/>
      <c r="T7" s="10"/>
    </row>
    <row r="8" spans="1:20">
      <c r="A8" s="1"/>
      <c r="B8" s="1"/>
      <c r="C8" s="1"/>
      <c r="D8" s="1"/>
      <c r="E8" s="1"/>
      <c r="F8" s="267"/>
      <c r="G8" s="107"/>
      <c r="H8" s="15"/>
      <c r="I8" s="471"/>
      <c r="J8" s="31"/>
      <c r="K8" s="471"/>
      <c r="L8" s="42"/>
      <c r="M8" s="107"/>
      <c r="N8" s="15"/>
    </row>
    <row r="9" spans="1:20" s="11" customFormat="1">
      <c r="A9" s="17" t="s">
        <v>2</v>
      </c>
      <c r="B9" s="17"/>
      <c r="C9" s="40"/>
      <c r="D9" s="17" t="s">
        <v>19</v>
      </c>
      <c r="E9" s="17"/>
      <c r="F9" s="472">
        <f>SUM(F7:F8)</f>
        <v>0</v>
      </c>
      <c r="G9" s="96">
        <f>SUM(G7:G8)</f>
        <v>0</v>
      </c>
      <c r="H9" s="64"/>
      <c r="I9" s="64"/>
      <c r="J9" s="96">
        <f>SUM(J7:J8)</f>
        <v>0</v>
      </c>
      <c r="K9" s="64"/>
      <c r="L9" s="96">
        <f>SUM(L7:L8)</f>
        <v>0</v>
      </c>
      <c r="M9" s="96">
        <f>SUM(M7:M8)</f>
        <v>0</v>
      </c>
      <c r="N9" s="15"/>
    </row>
    <row r="10" spans="1:20">
      <c r="F10" s="89"/>
      <c r="G10" s="97"/>
      <c r="H10" s="15"/>
      <c r="I10" s="15"/>
      <c r="J10" s="64"/>
      <c r="K10" s="15"/>
      <c r="N10" s="15"/>
      <c r="O10" s="1"/>
      <c r="P10" s="1"/>
      <c r="Q10" s="1"/>
      <c r="R10" s="1"/>
      <c r="S10" s="1"/>
      <c r="T10" s="1"/>
    </row>
    <row r="11" spans="1:20">
      <c r="D11" s="17" t="s">
        <v>45</v>
      </c>
      <c r="F11" s="89">
        <f>SUM(F9-G9)</f>
        <v>0</v>
      </c>
      <c r="G11" s="97"/>
      <c r="H11" s="15"/>
      <c r="I11" s="15"/>
      <c r="J11" s="64"/>
      <c r="K11" s="15"/>
      <c r="N11" s="15"/>
      <c r="O11" s="1"/>
      <c r="P11" s="1"/>
      <c r="Q11" s="1"/>
      <c r="R11" s="1"/>
      <c r="S11" s="1"/>
      <c r="T11" s="1"/>
    </row>
    <row r="12" spans="1:20">
      <c r="F12" s="89"/>
      <c r="G12" s="97"/>
      <c r="H12" s="15"/>
      <c r="I12" s="15"/>
      <c r="J12" s="64"/>
      <c r="K12" s="15"/>
      <c r="N12" s="15"/>
      <c r="O12" s="1"/>
      <c r="P12" s="1"/>
      <c r="Q12" s="1"/>
      <c r="R12" s="1"/>
      <c r="S12" s="1"/>
      <c r="T12" s="1"/>
    </row>
    <row r="13" spans="1:20">
      <c r="D13" s="271" t="s">
        <v>78</v>
      </c>
      <c r="F13" s="94">
        <f>+C1-G9+M9</f>
        <v>14097869.830800001</v>
      </c>
      <c r="G13" s="146" t="s">
        <v>570</v>
      </c>
      <c r="H13" s="15"/>
      <c r="I13" s="15"/>
      <c r="J13" s="64"/>
      <c r="K13" s="15"/>
      <c r="N13" s="15"/>
      <c r="O13" s="1"/>
      <c r="P13" s="1"/>
      <c r="Q13" s="1"/>
      <c r="R13" s="1"/>
      <c r="S13" s="1"/>
      <c r="T13" s="1"/>
    </row>
    <row r="14" spans="1:20">
      <c r="G14" s="146"/>
    </row>
    <row r="27" spans="8:8">
      <c r="H27" s="42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T26"/>
  <sheetViews>
    <sheetView zoomScaleNormal="100" workbookViewId="0">
      <selection activeCell="G12" sqref="G12"/>
    </sheetView>
  </sheetViews>
  <sheetFormatPr defaultColWidth="10.85546875" defaultRowHeight="12"/>
  <cols>
    <col min="1" max="1" width="14.42578125" style="17" bestFit="1" customWidth="1"/>
    <col min="2" max="2" width="7.85546875" style="17" bestFit="1" customWidth="1"/>
    <col min="3" max="3" width="22.28515625" style="17" customWidth="1"/>
    <col min="4" max="4" width="8.85546875" style="17" bestFit="1" customWidth="1"/>
    <col min="5" max="5" width="10.42578125" style="17" bestFit="1" customWidth="1"/>
    <col min="6" max="6" width="11.7109375" style="16" bestFit="1" customWidth="1"/>
    <col min="7" max="7" width="12.28515625" style="42" bestFit="1" customWidth="1"/>
    <col min="8" max="8" width="14.42578125" style="17" bestFit="1" customWidth="1"/>
    <col min="9" max="9" width="10.42578125" style="17" bestFit="1" customWidth="1"/>
    <col min="10" max="10" width="11.5703125" style="42" bestFit="1" customWidth="1"/>
    <col min="11" max="11" width="10.42578125" style="17" bestFit="1" customWidth="1"/>
    <col min="12" max="12" width="13.140625" style="16" bestFit="1" customWidth="1"/>
    <col min="13" max="13" width="10.42578125" style="16" bestFit="1" customWidth="1"/>
    <col min="14" max="14" width="10" style="17" bestFit="1" customWidth="1"/>
    <col min="15" max="16384" width="10.85546875" style="17"/>
  </cols>
  <sheetData>
    <row r="1" spans="1:20" s="28" customFormat="1">
      <c r="A1" s="245" t="s">
        <v>12</v>
      </c>
      <c r="C1" s="25">
        <v>18909047.630199999</v>
      </c>
      <c r="D1" s="25"/>
      <c r="E1" s="25"/>
      <c r="F1" s="53"/>
      <c r="G1" s="54"/>
      <c r="H1" s="26"/>
      <c r="I1" s="26"/>
      <c r="J1" s="54"/>
      <c r="K1" s="26"/>
      <c r="L1" s="53"/>
      <c r="M1" s="53"/>
      <c r="N1" s="246"/>
      <c r="O1" s="10"/>
      <c r="P1" s="10"/>
      <c r="Q1" s="10"/>
      <c r="R1" s="10"/>
      <c r="S1" s="10"/>
      <c r="T1" s="10"/>
    </row>
    <row r="2" spans="1:20" s="36" customFormat="1">
      <c r="A2" s="247" t="s">
        <v>64</v>
      </c>
      <c r="C2" s="43"/>
      <c r="D2" s="43"/>
      <c r="E2" s="43"/>
      <c r="F2" s="55"/>
      <c r="G2" s="56"/>
      <c r="H2" s="34"/>
      <c r="I2" s="34"/>
      <c r="J2" s="56"/>
      <c r="K2" s="34"/>
      <c r="L2" s="55"/>
      <c r="M2" s="55"/>
      <c r="N2" s="102"/>
      <c r="O2" s="10"/>
      <c r="P2" s="10"/>
      <c r="Q2" s="10"/>
      <c r="R2" s="10"/>
      <c r="S2" s="10"/>
      <c r="T2" s="10"/>
    </row>
    <row r="3" spans="1:20">
      <c r="A3" s="248"/>
      <c r="B3" s="36"/>
      <c r="C3" s="36"/>
      <c r="D3" s="36"/>
      <c r="E3" s="36"/>
      <c r="F3" s="55"/>
      <c r="G3" s="56"/>
      <c r="H3" s="34"/>
      <c r="I3" s="34"/>
      <c r="J3" s="56"/>
      <c r="K3" s="34"/>
      <c r="L3" s="55"/>
      <c r="M3" s="55"/>
      <c r="N3" s="102"/>
      <c r="O3" s="10"/>
      <c r="P3" s="10"/>
      <c r="Q3" s="10"/>
      <c r="R3" s="10"/>
      <c r="S3" s="10"/>
      <c r="T3" s="10"/>
    </row>
    <row r="4" spans="1:20" s="5" customFormat="1">
      <c r="A4" s="248" t="s">
        <v>34</v>
      </c>
      <c r="B4" s="36" t="s">
        <v>39</v>
      </c>
      <c r="C4" s="36" t="s">
        <v>32</v>
      </c>
      <c r="D4" s="43" t="s">
        <v>51</v>
      </c>
      <c r="E4" s="36" t="s">
        <v>47</v>
      </c>
      <c r="F4" s="55" t="s">
        <v>24</v>
      </c>
      <c r="G4" s="56" t="s">
        <v>8</v>
      </c>
      <c r="H4" s="34" t="s">
        <v>14</v>
      </c>
      <c r="I4" s="34" t="s">
        <v>36</v>
      </c>
      <c r="J4" s="56" t="s">
        <v>4</v>
      </c>
      <c r="K4" s="34" t="s">
        <v>346</v>
      </c>
      <c r="L4" s="55" t="s">
        <v>28</v>
      </c>
      <c r="M4" s="55" t="s">
        <v>46</v>
      </c>
      <c r="N4" s="102" t="s">
        <v>23</v>
      </c>
      <c r="O4" s="10"/>
      <c r="P4" s="10"/>
      <c r="Q4" s="10"/>
      <c r="R4" s="10"/>
      <c r="S4" s="10"/>
      <c r="T4" s="10"/>
    </row>
    <row r="5" spans="1:20" s="10" customFormat="1">
      <c r="A5" s="248" t="s">
        <v>50</v>
      </c>
      <c r="B5" s="36"/>
      <c r="C5" s="36"/>
      <c r="D5" s="43"/>
      <c r="E5" s="43"/>
      <c r="F5" s="55" t="s">
        <v>44</v>
      </c>
      <c r="G5" s="56" t="s">
        <v>44</v>
      </c>
      <c r="H5" s="34" t="s">
        <v>9</v>
      </c>
      <c r="I5" s="34" t="s">
        <v>18</v>
      </c>
      <c r="J5" s="56" t="s">
        <v>44</v>
      </c>
      <c r="K5" s="34" t="s">
        <v>18</v>
      </c>
      <c r="L5" s="55" t="s">
        <v>44</v>
      </c>
      <c r="M5" s="55" t="s">
        <v>44</v>
      </c>
      <c r="N5" s="102" t="s">
        <v>5</v>
      </c>
    </row>
    <row r="6" spans="1:20" s="5" customFormat="1" ht="12.75" thickBot="1">
      <c r="A6" s="249" t="s">
        <v>33</v>
      </c>
      <c r="B6" s="45"/>
      <c r="C6" s="45"/>
      <c r="D6" s="45"/>
      <c r="E6" s="45"/>
      <c r="F6" s="63"/>
      <c r="G6" s="250"/>
      <c r="H6" s="117"/>
      <c r="I6" s="117"/>
      <c r="J6" s="250"/>
      <c r="K6" s="117"/>
      <c r="L6" s="63"/>
      <c r="M6" s="63"/>
      <c r="N6" s="119" t="s">
        <v>9</v>
      </c>
      <c r="O6" s="10"/>
      <c r="P6" s="10"/>
      <c r="Q6" s="10"/>
      <c r="R6" s="10"/>
      <c r="S6" s="10"/>
      <c r="T6" s="10"/>
    </row>
    <row r="7" spans="1:20">
      <c r="A7" s="36"/>
      <c r="B7" s="129"/>
      <c r="C7" s="1"/>
      <c r="D7" s="52"/>
      <c r="E7" s="52"/>
      <c r="F7" s="13"/>
      <c r="G7" s="31"/>
      <c r="H7" s="34"/>
      <c r="I7" s="34"/>
      <c r="J7" s="56"/>
      <c r="K7" s="34"/>
      <c r="L7" s="56"/>
      <c r="M7" s="72"/>
      <c r="N7" s="34"/>
      <c r="O7" s="36"/>
      <c r="P7" s="36"/>
      <c r="Q7" s="36"/>
      <c r="R7" s="36"/>
      <c r="S7" s="36"/>
      <c r="T7" s="36"/>
    </row>
    <row r="8" spans="1:20" s="11" customFormat="1">
      <c r="A8" s="17" t="s">
        <v>2</v>
      </c>
      <c r="B8" s="17"/>
      <c r="C8" s="40"/>
      <c r="D8" s="17" t="s">
        <v>19</v>
      </c>
      <c r="E8" s="17"/>
      <c r="F8" s="94">
        <f>SUM(F7:F7)</f>
        <v>0</v>
      </c>
      <c r="G8" s="94">
        <f>SUM(G7:G7)</f>
        <v>0</v>
      </c>
      <c r="H8" s="15"/>
      <c r="I8" s="15"/>
      <c r="J8" s="94">
        <f>SUM(J7:J7)</f>
        <v>0</v>
      </c>
      <c r="K8" s="15"/>
      <c r="L8" s="94">
        <f>SUM(L7:L7)</f>
        <v>0</v>
      </c>
      <c r="M8" s="94">
        <f>SUM(M7:M7)</f>
        <v>0</v>
      </c>
      <c r="N8" s="15"/>
    </row>
    <row r="9" spans="1:20">
      <c r="F9" s="89"/>
      <c r="G9" s="97"/>
      <c r="H9" s="15"/>
      <c r="I9" s="15"/>
      <c r="J9" s="64"/>
      <c r="K9" s="15"/>
      <c r="N9" s="15"/>
      <c r="O9" s="1"/>
      <c r="P9" s="1"/>
      <c r="Q9" s="1"/>
      <c r="R9" s="1"/>
      <c r="S9" s="1"/>
      <c r="T9" s="1"/>
    </row>
    <row r="10" spans="1:20">
      <c r="D10" s="17" t="s">
        <v>45</v>
      </c>
      <c r="F10" s="89">
        <f>SUM(F8-G8)</f>
        <v>0</v>
      </c>
      <c r="G10" s="97"/>
      <c r="H10" s="15"/>
      <c r="I10" s="15"/>
      <c r="J10" s="64"/>
      <c r="K10" s="15"/>
      <c r="N10" s="15"/>
      <c r="O10" s="1"/>
      <c r="P10" s="1"/>
      <c r="Q10" s="1"/>
      <c r="R10" s="1"/>
      <c r="S10" s="1"/>
      <c r="T10" s="1"/>
    </row>
    <row r="11" spans="1:20">
      <c r="D11" s="1"/>
      <c r="F11" s="89"/>
      <c r="G11" s="97"/>
      <c r="H11" s="15"/>
      <c r="I11" s="15"/>
      <c r="J11" s="64"/>
      <c r="K11" s="15"/>
      <c r="N11" s="15"/>
      <c r="O11" s="1"/>
      <c r="P11" s="1"/>
      <c r="Q11" s="1"/>
      <c r="R11" s="1"/>
      <c r="S11" s="1"/>
      <c r="T11" s="1"/>
    </row>
    <row r="12" spans="1:20">
      <c r="D12" s="271" t="s">
        <v>78</v>
      </c>
      <c r="F12" s="94">
        <f>+C1+F11-G8+M8</f>
        <v>18909047.630199999</v>
      </c>
      <c r="G12" s="146" t="s">
        <v>570</v>
      </c>
      <c r="H12" s="15"/>
      <c r="I12" s="15"/>
      <c r="J12" s="64"/>
      <c r="K12" s="15"/>
      <c r="N12" s="15"/>
      <c r="O12" s="1"/>
      <c r="P12" s="1"/>
      <c r="Q12" s="1"/>
      <c r="R12" s="1"/>
      <c r="S12" s="1"/>
      <c r="T12" s="1"/>
    </row>
    <row r="17" spans="8:9">
      <c r="I17" s="17" t="s">
        <v>7</v>
      </c>
    </row>
    <row r="26" spans="8:9">
      <c r="H26" s="42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T89"/>
  <sheetViews>
    <sheetView zoomScaleNormal="100" workbookViewId="0">
      <pane xSplit="4" ySplit="6" topLeftCell="L40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L80" sqref="L80"/>
    </sheetView>
  </sheetViews>
  <sheetFormatPr defaultColWidth="11.42578125" defaultRowHeight="12"/>
  <cols>
    <col min="1" max="1" width="11" style="1" customWidth="1"/>
    <col min="2" max="2" width="13.42578125" style="1" customWidth="1"/>
    <col min="3" max="3" width="42.42578125" style="1" bestFit="1" customWidth="1"/>
    <col min="4" max="4" width="39.28515625" style="1" bestFit="1" customWidth="1"/>
    <col min="5" max="5" width="11.7109375" style="1" bestFit="1" customWidth="1"/>
    <col min="6" max="6" width="13.85546875" style="107" bestFit="1" customWidth="1"/>
    <col min="7" max="7" width="14" style="1" bestFit="1" customWidth="1"/>
    <col min="8" max="8" width="15.28515625" style="1" bestFit="1" customWidth="1"/>
    <col min="9" max="9" width="12.42578125" style="1" bestFit="1" customWidth="1"/>
    <col min="10" max="10" width="14" style="13" bestFit="1" customWidth="1"/>
    <col min="11" max="11" width="10.85546875" style="1" bestFit="1" customWidth="1"/>
    <col min="12" max="12" width="13.7109375" style="1" customWidth="1"/>
    <col min="13" max="13" width="14.7109375" style="1" bestFit="1" customWidth="1"/>
    <col min="14" max="14" width="9.85546875" style="1" bestFit="1" customWidth="1"/>
    <col min="15" max="15" width="10.85546875" style="271" bestFit="1" customWidth="1"/>
    <col min="16" max="16384" width="11.42578125" style="1"/>
  </cols>
  <sheetData>
    <row r="1" spans="1:20" s="28" customFormat="1">
      <c r="A1" s="20" t="s">
        <v>217</v>
      </c>
      <c r="B1" s="21"/>
      <c r="C1" s="22">
        <f>Totals!I8</f>
        <v>898147413</v>
      </c>
      <c r="D1" s="446"/>
      <c r="E1" s="22"/>
      <c r="F1" s="233"/>
      <c r="G1" s="24"/>
      <c r="H1" s="25"/>
      <c r="I1" s="26"/>
      <c r="J1" s="23"/>
      <c r="K1" s="26"/>
      <c r="L1" s="23"/>
      <c r="M1" s="23"/>
      <c r="N1" s="27"/>
      <c r="O1" s="271"/>
      <c r="P1" s="17"/>
      <c r="Q1" s="17"/>
      <c r="R1" s="17"/>
      <c r="S1" s="17"/>
      <c r="T1" s="17"/>
    </row>
    <row r="2" spans="1:20" s="36" customFormat="1">
      <c r="A2" s="29" t="s">
        <v>31</v>
      </c>
      <c r="B2" s="10"/>
      <c r="C2" s="30"/>
      <c r="D2" s="30"/>
      <c r="E2" s="30"/>
      <c r="F2" s="92"/>
      <c r="G2" s="32"/>
      <c r="H2" s="33"/>
      <c r="I2" s="34"/>
      <c r="J2" s="31"/>
      <c r="K2" s="34"/>
      <c r="L2" s="31"/>
      <c r="M2" s="31"/>
      <c r="N2" s="35"/>
      <c r="O2" s="271"/>
      <c r="P2" s="17"/>
      <c r="Q2" s="17"/>
      <c r="R2" s="17"/>
      <c r="S2" s="17"/>
      <c r="T2" s="17"/>
    </row>
    <row r="3" spans="1:20" s="36" customFormat="1">
      <c r="A3" s="29"/>
      <c r="B3" s="10"/>
      <c r="C3" s="30"/>
      <c r="D3" s="30"/>
      <c r="E3" s="30"/>
      <c r="F3" s="92"/>
      <c r="G3" s="31"/>
      <c r="H3" s="34"/>
      <c r="I3" s="34"/>
      <c r="J3" s="31"/>
      <c r="K3" s="34"/>
      <c r="L3" s="31"/>
      <c r="M3" s="31"/>
      <c r="N3" s="35"/>
      <c r="O3" s="271"/>
      <c r="P3" s="17"/>
      <c r="Q3" s="17"/>
      <c r="R3" s="17"/>
      <c r="S3" s="17"/>
      <c r="T3" s="17"/>
    </row>
    <row r="4" spans="1:20" s="5" customFormat="1">
      <c r="A4" s="37" t="s">
        <v>34</v>
      </c>
      <c r="B4" s="10" t="s">
        <v>39</v>
      </c>
      <c r="C4" s="10" t="s">
        <v>32</v>
      </c>
      <c r="D4" s="30" t="s">
        <v>51</v>
      </c>
      <c r="E4" s="30" t="s">
        <v>47</v>
      </c>
      <c r="F4" s="120" t="s">
        <v>24</v>
      </c>
      <c r="G4" s="38" t="s">
        <v>8</v>
      </c>
      <c r="H4" s="9" t="s">
        <v>14</v>
      </c>
      <c r="I4" s="9" t="s">
        <v>36</v>
      </c>
      <c r="J4" s="38" t="s">
        <v>4</v>
      </c>
      <c r="K4" s="9" t="s">
        <v>347</v>
      </c>
      <c r="L4" s="38" t="s">
        <v>28</v>
      </c>
      <c r="M4" s="38" t="s">
        <v>46</v>
      </c>
      <c r="N4" s="35" t="s">
        <v>23</v>
      </c>
      <c r="O4" s="271"/>
      <c r="P4" s="17"/>
      <c r="Q4" s="17"/>
      <c r="R4" s="17"/>
      <c r="S4" s="17"/>
      <c r="T4" s="17"/>
    </row>
    <row r="5" spans="1:20" s="5" customFormat="1">
      <c r="A5" s="37" t="s">
        <v>50</v>
      </c>
      <c r="B5" s="36"/>
      <c r="C5" s="10"/>
      <c r="D5" s="30"/>
      <c r="E5" s="30"/>
      <c r="F5" s="120" t="s">
        <v>44</v>
      </c>
      <c r="G5" s="38" t="s">
        <v>44</v>
      </c>
      <c r="H5" s="9" t="s">
        <v>9</v>
      </c>
      <c r="I5" s="9" t="s">
        <v>18</v>
      </c>
      <c r="J5" s="38" t="s">
        <v>44</v>
      </c>
      <c r="K5" s="9" t="s">
        <v>18</v>
      </c>
      <c r="L5" s="38" t="s">
        <v>44</v>
      </c>
      <c r="M5" s="38" t="s">
        <v>44</v>
      </c>
      <c r="N5" s="35" t="s">
        <v>5</v>
      </c>
      <c r="O5" s="271"/>
      <c r="P5" s="17"/>
      <c r="Q5" s="17"/>
      <c r="R5" s="17"/>
      <c r="S5" s="17"/>
      <c r="T5" s="17"/>
    </row>
    <row r="6" spans="1:20" s="10" customFormat="1" ht="12.75" thickBot="1">
      <c r="A6" s="44" t="s">
        <v>17</v>
      </c>
      <c r="B6" s="45"/>
      <c r="C6" s="39"/>
      <c r="D6" s="46"/>
      <c r="E6" s="46"/>
      <c r="F6" s="234"/>
      <c r="G6" s="74"/>
      <c r="H6" s="47"/>
      <c r="I6" s="47"/>
      <c r="J6" s="74"/>
      <c r="K6" s="47"/>
      <c r="L6" s="74"/>
      <c r="M6" s="74"/>
      <c r="N6" s="48" t="s">
        <v>9</v>
      </c>
      <c r="O6" s="241"/>
      <c r="P6" s="36"/>
      <c r="Q6" s="36"/>
      <c r="R6" s="36"/>
      <c r="S6" s="36"/>
      <c r="T6" s="36"/>
    </row>
    <row r="7" spans="1:20" s="36" customFormat="1">
      <c r="A7" s="36">
        <v>4530</v>
      </c>
      <c r="B7" s="36" t="s">
        <v>86</v>
      </c>
      <c r="C7" s="129" t="s">
        <v>276</v>
      </c>
      <c r="D7" s="297" t="s">
        <v>277</v>
      </c>
      <c r="E7" s="297" t="s">
        <v>278</v>
      </c>
      <c r="F7" s="90">
        <v>19000000</v>
      </c>
      <c r="G7" s="90">
        <v>19000000</v>
      </c>
      <c r="H7" s="34">
        <v>42370</v>
      </c>
      <c r="I7" s="34">
        <f t="shared" ref="I7:I16" si="0">H7+35</f>
        <v>42405</v>
      </c>
      <c r="J7" s="31">
        <v>19000000</v>
      </c>
      <c r="K7" s="34">
        <f>H7+180</f>
        <v>42550</v>
      </c>
      <c r="L7" s="31">
        <v>17700000</v>
      </c>
      <c r="M7" s="31">
        <f>J7-L7</f>
        <v>1300000</v>
      </c>
      <c r="N7" s="34">
        <v>42546</v>
      </c>
      <c r="O7" s="241"/>
    </row>
    <row r="8" spans="1:20" s="36" customFormat="1">
      <c r="A8" s="36">
        <v>4532</v>
      </c>
      <c r="B8" s="36" t="s">
        <v>86</v>
      </c>
      <c r="C8" s="129" t="s">
        <v>281</v>
      </c>
      <c r="D8" s="297" t="s">
        <v>245</v>
      </c>
      <c r="E8" s="297" t="s">
        <v>249</v>
      </c>
      <c r="F8" s="412">
        <v>38000000</v>
      </c>
      <c r="G8" s="412">
        <v>38000000</v>
      </c>
      <c r="H8" s="34">
        <v>42370</v>
      </c>
      <c r="I8" s="34">
        <f t="shared" si="0"/>
        <v>42405</v>
      </c>
      <c r="J8" s="445">
        <v>38000000</v>
      </c>
      <c r="K8" s="34">
        <f>H8+180</f>
        <v>42550</v>
      </c>
      <c r="L8" s="31">
        <v>21000000</v>
      </c>
      <c r="M8" s="31">
        <f>J8-L8</f>
        <v>17000000</v>
      </c>
      <c r="N8" s="34">
        <v>42545</v>
      </c>
      <c r="O8" s="241" t="s">
        <v>357</v>
      </c>
    </row>
    <row r="9" spans="1:20" s="36" customFormat="1">
      <c r="A9" s="36">
        <v>4533</v>
      </c>
      <c r="B9" s="36" t="s">
        <v>86</v>
      </c>
      <c r="C9" s="129" t="s">
        <v>107</v>
      </c>
      <c r="D9" s="297" t="s">
        <v>282</v>
      </c>
      <c r="E9" s="297" t="s">
        <v>84</v>
      </c>
      <c r="F9" s="412">
        <v>20000000</v>
      </c>
      <c r="G9" s="412">
        <v>20000000</v>
      </c>
      <c r="H9" s="34">
        <v>42370</v>
      </c>
      <c r="I9" s="34">
        <f t="shared" si="0"/>
        <v>42405</v>
      </c>
      <c r="J9" s="445">
        <v>20000000</v>
      </c>
      <c r="K9" s="34">
        <f>H9+180</f>
        <v>42550</v>
      </c>
      <c r="L9" s="445">
        <v>20000000</v>
      </c>
      <c r="M9" s="31">
        <f>J9-L9</f>
        <v>0</v>
      </c>
      <c r="N9" s="34">
        <v>42556</v>
      </c>
      <c r="O9" s="241"/>
    </row>
    <row r="10" spans="1:20" s="642" customFormat="1">
      <c r="A10" s="36">
        <v>4534</v>
      </c>
      <c r="B10" s="36" t="s">
        <v>86</v>
      </c>
      <c r="C10" s="129" t="s">
        <v>283</v>
      </c>
      <c r="D10" s="297" t="s">
        <v>284</v>
      </c>
      <c r="E10" s="297" t="s">
        <v>213</v>
      </c>
      <c r="F10" s="412">
        <v>50000000</v>
      </c>
      <c r="G10" s="412">
        <v>50000000</v>
      </c>
      <c r="H10" s="34">
        <v>42370</v>
      </c>
      <c r="I10" s="34">
        <f t="shared" si="0"/>
        <v>42405</v>
      </c>
      <c r="J10" s="445">
        <v>50000000</v>
      </c>
      <c r="K10" s="34">
        <f>H10+150</f>
        <v>42520</v>
      </c>
      <c r="L10" s="412">
        <v>38500000</v>
      </c>
      <c r="M10" s="412">
        <f>J10-L10</f>
        <v>11500000</v>
      </c>
      <c r="N10" s="34">
        <v>42515</v>
      </c>
      <c r="O10" s="643"/>
    </row>
    <row r="11" spans="1:20" s="36" customFormat="1">
      <c r="A11" s="36">
        <v>4537</v>
      </c>
      <c r="B11" s="36" t="s">
        <v>360</v>
      </c>
      <c r="C11" s="129" t="s">
        <v>281</v>
      </c>
      <c r="D11" s="297" t="s">
        <v>233</v>
      </c>
      <c r="E11" s="297" t="s">
        <v>85</v>
      </c>
      <c r="F11" s="412">
        <v>44000000</v>
      </c>
      <c r="G11" s="412">
        <v>44000000</v>
      </c>
      <c r="H11" s="34">
        <v>42370</v>
      </c>
      <c r="I11" s="34">
        <f t="shared" si="0"/>
        <v>42405</v>
      </c>
      <c r="J11" s="445">
        <v>0</v>
      </c>
      <c r="K11" s="34">
        <f>H11+180</f>
        <v>42550</v>
      </c>
      <c r="L11" s="31">
        <v>0</v>
      </c>
      <c r="M11" s="412">
        <f t="shared" ref="M11:M17" si="1">G11-L11</f>
        <v>44000000</v>
      </c>
      <c r="N11" s="34">
        <v>42371</v>
      </c>
      <c r="O11" s="241"/>
    </row>
    <row r="12" spans="1:20" s="642" customFormat="1">
      <c r="A12" s="36">
        <v>4538</v>
      </c>
      <c r="B12" s="36" t="s">
        <v>86</v>
      </c>
      <c r="C12" s="129" t="s">
        <v>273</v>
      </c>
      <c r="D12" s="297" t="s">
        <v>289</v>
      </c>
      <c r="E12" s="297" t="s">
        <v>192</v>
      </c>
      <c r="F12" s="412">
        <v>100000000</v>
      </c>
      <c r="G12" s="412">
        <v>100000000</v>
      </c>
      <c r="H12" s="34">
        <v>42370</v>
      </c>
      <c r="I12" s="34">
        <f t="shared" si="0"/>
        <v>42405</v>
      </c>
      <c r="J12" s="445">
        <v>33500000</v>
      </c>
      <c r="K12" s="34">
        <f>H12+210</f>
        <v>42580</v>
      </c>
      <c r="L12" s="31">
        <v>3467072.4</v>
      </c>
      <c r="M12" s="31">
        <f t="shared" si="1"/>
        <v>96532927.599999994</v>
      </c>
      <c r="N12" s="340">
        <v>42434</v>
      </c>
      <c r="O12" s="644"/>
    </row>
    <row r="13" spans="1:20" s="36" customFormat="1">
      <c r="A13" s="36">
        <v>4540</v>
      </c>
      <c r="B13" s="36" t="s">
        <v>360</v>
      </c>
      <c r="C13" s="129" t="s">
        <v>294</v>
      </c>
      <c r="D13" s="297" t="s">
        <v>295</v>
      </c>
      <c r="E13" s="297" t="s">
        <v>296</v>
      </c>
      <c r="F13" s="412">
        <v>15000000</v>
      </c>
      <c r="G13" s="412">
        <v>15000000</v>
      </c>
      <c r="H13" s="34">
        <v>42371</v>
      </c>
      <c r="I13" s="34">
        <f t="shared" si="0"/>
        <v>42406</v>
      </c>
      <c r="J13" s="412">
        <v>15000000</v>
      </c>
      <c r="K13" s="34">
        <f>H13+180</f>
        <v>42551</v>
      </c>
      <c r="L13" s="31">
        <v>0</v>
      </c>
      <c r="M13" s="31">
        <f t="shared" si="1"/>
        <v>15000000</v>
      </c>
      <c r="N13" s="340">
        <v>42469</v>
      </c>
      <c r="O13" s="340"/>
    </row>
    <row r="14" spans="1:20" s="36" customFormat="1" ht="12.75" customHeight="1">
      <c r="A14" s="36">
        <v>4543</v>
      </c>
      <c r="B14" s="36" t="s">
        <v>86</v>
      </c>
      <c r="C14" s="129" t="s">
        <v>281</v>
      </c>
      <c r="D14" s="297" t="s">
        <v>301</v>
      </c>
      <c r="E14" s="297" t="s">
        <v>85</v>
      </c>
      <c r="F14" s="412">
        <v>23000000</v>
      </c>
      <c r="G14" s="412">
        <v>23000000</v>
      </c>
      <c r="H14" s="34">
        <v>42371</v>
      </c>
      <c r="I14" s="34">
        <f t="shared" si="0"/>
        <v>42406</v>
      </c>
      <c r="J14" s="445">
        <v>23000000</v>
      </c>
      <c r="K14" s="34">
        <f>H14+180</f>
        <v>42551</v>
      </c>
      <c r="L14" s="412">
        <v>23000000</v>
      </c>
      <c r="M14" s="31">
        <f t="shared" si="1"/>
        <v>0</v>
      </c>
      <c r="N14" s="34">
        <v>42557</v>
      </c>
      <c r="O14" s="241"/>
    </row>
    <row r="15" spans="1:20" s="36" customFormat="1">
      <c r="A15" s="36">
        <v>4544</v>
      </c>
      <c r="B15" s="36" t="s">
        <v>395</v>
      </c>
      <c r="C15" s="129" t="s">
        <v>303</v>
      </c>
      <c r="D15" s="297" t="s">
        <v>304</v>
      </c>
      <c r="E15" s="297" t="s">
        <v>82</v>
      </c>
      <c r="F15" s="412">
        <v>100000000</v>
      </c>
      <c r="G15" s="412">
        <v>100000000</v>
      </c>
      <c r="H15" s="34">
        <v>42371</v>
      </c>
      <c r="I15" s="34">
        <f t="shared" si="0"/>
        <v>42406</v>
      </c>
      <c r="J15" s="412">
        <v>100000000</v>
      </c>
      <c r="K15" s="34">
        <f>H15+150</f>
        <v>42521</v>
      </c>
      <c r="L15" s="31">
        <v>0</v>
      </c>
      <c r="M15" s="31">
        <f t="shared" si="1"/>
        <v>100000000</v>
      </c>
      <c r="N15" s="34">
        <v>42521</v>
      </c>
      <c r="O15" s="241"/>
    </row>
    <row r="16" spans="1:20" s="36" customFormat="1">
      <c r="A16" s="36">
        <v>4545</v>
      </c>
      <c r="B16" s="36" t="s">
        <v>86</v>
      </c>
      <c r="C16" s="129" t="s">
        <v>281</v>
      </c>
      <c r="D16" s="297" t="s">
        <v>248</v>
      </c>
      <c r="E16" s="297" t="s">
        <v>85</v>
      </c>
      <c r="F16" s="412">
        <v>38000000</v>
      </c>
      <c r="G16" s="412">
        <v>38000000</v>
      </c>
      <c r="H16" s="34">
        <v>42371</v>
      </c>
      <c r="I16" s="34">
        <f t="shared" si="0"/>
        <v>42406</v>
      </c>
      <c r="J16" s="445">
        <v>38000000</v>
      </c>
      <c r="K16" s="34">
        <f>H16+180</f>
        <v>42551</v>
      </c>
      <c r="L16" s="445">
        <v>0</v>
      </c>
      <c r="M16" s="31">
        <f t="shared" si="1"/>
        <v>38000000</v>
      </c>
      <c r="N16" s="34">
        <v>42536</v>
      </c>
      <c r="O16" s="241" t="s">
        <v>477</v>
      </c>
    </row>
    <row r="17" spans="1:20" s="36" customFormat="1">
      <c r="A17" s="36">
        <v>4546</v>
      </c>
      <c r="B17" s="36" t="s">
        <v>86</v>
      </c>
      <c r="C17" s="129" t="s">
        <v>305</v>
      </c>
      <c r="D17" s="297" t="s">
        <v>306</v>
      </c>
      <c r="E17" s="297" t="s">
        <v>83</v>
      </c>
      <c r="F17" s="412">
        <v>20000000</v>
      </c>
      <c r="G17" s="412">
        <v>20000000</v>
      </c>
      <c r="H17" s="34">
        <v>42371</v>
      </c>
      <c r="I17" s="34">
        <f t="shared" ref="I17:I27" si="2">H17+35</f>
        <v>42406</v>
      </c>
      <c r="J17" s="445">
        <v>20000000</v>
      </c>
      <c r="K17" s="34">
        <f>H17+180</f>
        <v>42551</v>
      </c>
      <c r="L17" s="31">
        <v>1250000</v>
      </c>
      <c r="M17" s="31">
        <f t="shared" si="1"/>
        <v>18750000</v>
      </c>
      <c r="N17" s="34">
        <v>42551</v>
      </c>
      <c r="O17" s="241" t="s">
        <v>357</v>
      </c>
    </row>
    <row r="18" spans="1:20" s="642" customFormat="1">
      <c r="A18" s="36">
        <v>4547</v>
      </c>
      <c r="B18" s="36" t="s">
        <v>86</v>
      </c>
      <c r="C18" s="129" t="s">
        <v>303</v>
      </c>
      <c r="D18" s="297" t="s">
        <v>307</v>
      </c>
      <c r="E18" s="297" t="s">
        <v>234</v>
      </c>
      <c r="F18" s="412">
        <v>86000000</v>
      </c>
      <c r="G18" s="412">
        <v>86000000</v>
      </c>
      <c r="H18" s="34">
        <v>42371</v>
      </c>
      <c r="I18" s="34">
        <f t="shared" si="2"/>
        <v>42406</v>
      </c>
      <c r="J18" s="412">
        <v>86000000</v>
      </c>
      <c r="K18" s="34">
        <f>H18+150</f>
        <v>42521</v>
      </c>
      <c r="L18" s="31">
        <v>16370000</v>
      </c>
      <c r="M18" s="31">
        <f t="shared" ref="M18:M26" si="3">G18-L18</f>
        <v>69630000</v>
      </c>
      <c r="N18" s="34">
        <v>42521</v>
      </c>
      <c r="O18" s="643"/>
    </row>
    <row r="19" spans="1:20" s="642" customFormat="1">
      <c r="A19" s="36">
        <v>4549</v>
      </c>
      <c r="B19" s="36" t="s">
        <v>86</v>
      </c>
      <c r="C19" s="129" t="s">
        <v>303</v>
      </c>
      <c r="D19" s="297" t="s">
        <v>309</v>
      </c>
      <c r="E19" s="297" t="s">
        <v>234</v>
      </c>
      <c r="F19" s="412">
        <v>58000000</v>
      </c>
      <c r="G19" s="412">
        <v>58000000</v>
      </c>
      <c r="H19" s="34">
        <v>42371</v>
      </c>
      <c r="I19" s="34">
        <f t="shared" si="2"/>
        <v>42406</v>
      </c>
      <c r="J19" s="412">
        <v>58000000</v>
      </c>
      <c r="K19" s="34">
        <f>H19+150</f>
        <v>42521</v>
      </c>
      <c r="L19" s="412">
        <v>0</v>
      </c>
      <c r="M19" s="31">
        <f t="shared" si="3"/>
        <v>58000000</v>
      </c>
      <c r="N19" s="34">
        <v>42521</v>
      </c>
      <c r="O19" s="643"/>
    </row>
    <row r="20" spans="1:20" s="36" customFormat="1">
      <c r="A20" s="36">
        <v>4550</v>
      </c>
      <c r="B20" s="36" t="s">
        <v>360</v>
      </c>
      <c r="C20" s="129" t="s">
        <v>303</v>
      </c>
      <c r="D20" s="297" t="s">
        <v>310</v>
      </c>
      <c r="E20" s="297" t="s">
        <v>84</v>
      </c>
      <c r="F20" s="412">
        <v>100000000</v>
      </c>
      <c r="G20" s="412">
        <v>100000000</v>
      </c>
      <c r="H20" s="34">
        <v>42374</v>
      </c>
      <c r="I20" s="34">
        <f t="shared" si="2"/>
        <v>42409</v>
      </c>
      <c r="J20" s="412">
        <v>100000000</v>
      </c>
      <c r="K20" s="34">
        <f>H20+150</f>
        <v>42524</v>
      </c>
      <c r="L20" s="445">
        <v>0</v>
      </c>
      <c r="M20" s="31">
        <f t="shared" si="3"/>
        <v>100000000</v>
      </c>
      <c r="N20" s="575">
        <v>42510</v>
      </c>
      <c r="O20" s="241"/>
    </row>
    <row r="21" spans="1:20" s="36" customFormat="1">
      <c r="A21" s="36">
        <v>4551</v>
      </c>
      <c r="B21" s="36" t="s">
        <v>360</v>
      </c>
      <c r="C21" s="129" t="s">
        <v>281</v>
      </c>
      <c r="D21" s="129" t="s">
        <v>311</v>
      </c>
      <c r="E21" s="129" t="s">
        <v>85</v>
      </c>
      <c r="F21" s="412">
        <v>28000000</v>
      </c>
      <c r="G21" s="412">
        <v>28000000</v>
      </c>
      <c r="H21" s="34">
        <v>42374</v>
      </c>
      <c r="I21" s="34">
        <f t="shared" si="2"/>
        <v>42409</v>
      </c>
      <c r="J21" s="445">
        <v>28000000</v>
      </c>
      <c r="K21" s="34">
        <f>H21+180</f>
        <v>42554</v>
      </c>
      <c r="L21" s="445">
        <v>0</v>
      </c>
      <c r="M21" s="31">
        <f t="shared" si="3"/>
        <v>28000000</v>
      </c>
      <c r="N21" s="34">
        <v>42418</v>
      </c>
      <c r="O21" s="241"/>
    </row>
    <row r="22" spans="1:20" s="36" customFormat="1">
      <c r="A22" s="36">
        <v>4553</v>
      </c>
      <c r="B22" s="36" t="s">
        <v>360</v>
      </c>
      <c r="C22" s="129" t="s">
        <v>313</v>
      </c>
      <c r="D22" s="129" t="s">
        <v>314</v>
      </c>
      <c r="E22" s="129" t="s">
        <v>269</v>
      </c>
      <c r="F22" s="412">
        <v>100000000</v>
      </c>
      <c r="G22" s="412">
        <v>100000000</v>
      </c>
      <c r="H22" s="34">
        <v>42374</v>
      </c>
      <c r="I22" s="34">
        <f t="shared" si="2"/>
        <v>42409</v>
      </c>
      <c r="J22" s="412"/>
      <c r="K22" s="34">
        <f>H22+150</f>
        <v>42524</v>
      </c>
      <c r="L22" s="445">
        <v>0</v>
      </c>
      <c r="M22" s="31">
        <f t="shared" si="3"/>
        <v>100000000</v>
      </c>
      <c r="N22" s="34">
        <v>42397</v>
      </c>
      <c r="O22" s="241"/>
    </row>
    <row r="23" spans="1:20" s="36" customFormat="1">
      <c r="A23" s="36">
        <v>4555</v>
      </c>
      <c r="B23" s="36" t="s">
        <v>360</v>
      </c>
      <c r="C23" s="129" t="s">
        <v>318</v>
      </c>
      <c r="D23" s="129" t="s">
        <v>319</v>
      </c>
      <c r="E23" s="129" t="s">
        <v>211</v>
      </c>
      <c r="F23" s="412">
        <v>25000000</v>
      </c>
      <c r="G23" s="412">
        <v>25000000</v>
      </c>
      <c r="H23" s="34">
        <v>42374</v>
      </c>
      <c r="I23" s="34">
        <f t="shared" si="2"/>
        <v>42409</v>
      </c>
      <c r="J23" s="445">
        <v>25000000</v>
      </c>
      <c r="K23" s="34">
        <f>H23+180</f>
        <v>42554</v>
      </c>
      <c r="L23" s="445">
        <v>0</v>
      </c>
      <c r="M23" s="31">
        <f t="shared" si="3"/>
        <v>25000000</v>
      </c>
      <c r="N23" s="34">
        <v>42529</v>
      </c>
      <c r="O23" s="241"/>
    </row>
    <row r="24" spans="1:20" s="36" customFormat="1">
      <c r="A24" s="400">
        <v>4556</v>
      </c>
      <c r="B24" s="36" t="s">
        <v>360</v>
      </c>
      <c r="C24" s="129" t="s">
        <v>320</v>
      </c>
      <c r="D24" s="129" t="s">
        <v>250</v>
      </c>
      <c r="E24" s="129" t="s">
        <v>84</v>
      </c>
      <c r="F24" s="412">
        <v>48000000</v>
      </c>
      <c r="G24" s="412">
        <v>48000000</v>
      </c>
      <c r="H24" s="34">
        <v>42375</v>
      </c>
      <c r="I24" s="34">
        <f t="shared" si="2"/>
        <v>42410</v>
      </c>
      <c r="J24" s="445"/>
      <c r="K24" s="34">
        <f>H24+180</f>
        <v>42555</v>
      </c>
      <c r="L24" s="445">
        <v>0</v>
      </c>
      <c r="M24" s="412">
        <f t="shared" si="3"/>
        <v>48000000</v>
      </c>
      <c r="N24" s="34"/>
      <c r="O24" s="241"/>
    </row>
    <row r="25" spans="1:20" s="36" customFormat="1">
      <c r="A25" s="400">
        <v>4557</v>
      </c>
      <c r="B25" s="36" t="s">
        <v>360</v>
      </c>
      <c r="C25" s="129" t="s">
        <v>348</v>
      </c>
      <c r="D25" s="129" t="s">
        <v>321</v>
      </c>
      <c r="E25" s="129" t="s">
        <v>164</v>
      </c>
      <c r="F25" s="412">
        <v>30000000</v>
      </c>
      <c r="G25" s="412">
        <v>30000000</v>
      </c>
      <c r="H25" s="34">
        <v>42381</v>
      </c>
      <c r="I25" s="34">
        <f t="shared" si="2"/>
        <v>42416</v>
      </c>
      <c r="J25" s="445">
        <v>30000000</v>
      </c>
      <c r="K25" s="34">
        <f>H25+180</f>
        <v>42561</v>
      </c>
      <c r="L25" s="445">
        <v>0</v>
      </c>
      <c r="M25" s="412">
        <f t="shared" si="3"/>
        <v>30000000</v>
      </c>
      <c r="N25" s="34">
        <v>42559</v>
      </c>
      <c r="O25" s="241"/>
    </row>
    <row r="26" spans="1:20" s="36" customFormat="1">
      <c r="A26" s="400">
        <v>4558</v>
      </c>
      <c r="B26" s="36" t="s">
        <v>86</v>
      </c>
      <c r="C26" s="129" t="s">
        <v>320</v>
      </c>
      <c r="D26" s="297" t="s">
        <v>268</v>
      </c>
      <c r="E26" s="297" t="s">
        <v>84</v>
      </c>
      <c r="F26" s="412">
        <v>30000000</v>
      </c>
      <c r="G26" s="412">
        <v>30000000</v>
      </c>
      <c r="H26" s="34">
        <v>42381</v>
      </c>
      <c r="I26" s="34">
        <f t="shared" si="2"/>
        <v>42416</v>
      </c>
      <c r="J26" s="445">
        <v>30000000</v>
      </c>
      <c r="K26" s="34">
        <f>H26+180</f>
        <v>42561</v>
      </c>
      <c r="L26" s="31">
        <v>30000000</v>
      </c>
      <c r="M26" s="412">
        <f t="shared" si="3"/>
        <v>0</v>
      </c>
      <c r="N26" s="34">
        <v>42557</v>
      </c>
      <c r="O26" s="241"/>
    </row>
    <row r="27" spans="1:20" s="36" customFormat="1">
      <c r="A27" s="36">
        <v>4568</v>
      </c>
      <c r="B27" s="36" t="s">
        <v>360</v>
      </c>
      <c r="C27" s="129" t="s">
        <v>375</v>
      </c>
      <c r="D27" s="297" t="s">
        <v>349</v>
      </c>
      <c r="E27" s="297" t="s">
        <v>350</v>
      </c>
      <c r="F27" s="412">
        <v>25000000</v>
      </c>
      <c r="G27" s="412">
        <v>25000000</v>
      </c>
      <c r="H27" s="34">
        <v>42399</v>
      </c>
      <c r="I27" s="34">
        <f t="shared" si="2"/>
        <v>42434</v>
      </c>
      <c r="J27" s="412">
        <v>25000000</v>
      </c>
      <c r="K27" s="34">
        <f>H27+180</f>
        <v>42579</v>
      </c>
      <c r="L27" s="445">
        <v>0</v>
      </c>
      <c r="M27" s="31">
        <f>G27-L27</f>
        <v>25000000</v>
      </c>
      <c r="N27" s="34">
        <v>42447</v>
      </c>
      <c r="O27" s="241"/>
    </row>
    <row r="28" spans="1:20" s="10" customFormat="1">
      <c r="A28" s="36" t="s">
        <v>351</v>
      </c>
      <c r="B28" s="36" t="s">
        <v>360</v>
      </c>
      <c r="C28" s="129" t="s">
        <v>352</v>
      </c>
      <c r="D28" s="297" t="s">
        <v>353</v>
      </c>
      <c r="E28" s="297" t="s">
        <v>258</v>
      </c>
      <c r="F28" s="412">
        <v>0</v>
      </c>
      <c r="G28" s="412">
        <v>0</v>
      </c>
      <c r="H28" s="9"/>
      <c r="I28" s="9"/>
      <c r="J28" s="547"/>
      <c r="K28" s="9"/>
      <c r="L28" s="38"/>
      <c r="M28" s="38"/>
      <c r="N28" s="9"/>
      <c r="O28" s="241"/>
      <c r="P28" s="36"/>
      <c r="Q28" s="36"/>
      <c r="R28" s="36"/>
      <c r="S28" s="36"/>
      <c r="T28" s="36"/>
    </row>
    <row r="29" spans="1:20" s="10" customFormat="1">
      <c r="A29" s="36" t="s">
        <v>354</v>
      </c>
      <c r="B29" s="36" t="s">
        <v>360</v>
      </c>
      <c r="C29" s="129" t="s">
        <v>352</v>
      </c>
      <c r="D29" s="297" t="s">
        <v>355</v>
      </c>
      <c r="E29" s="297" t="s">
        <v>258</v>
      </c>
      <c r="F29" s="412">
        <v>0</v>
      </c>
      <c r="G29" s="412">
        <v>0</v>
      </c>
      <c r="H29" s="9"/>
      <c r="I29" s="9"/>
      <c r="J29" s="547"/>
      <c r="K29" s="9"/>
      <c r="L29" s="38"/>
      <c r="M29" s="38"/>
      <c r="N29" s="9"/>
      <c r="O29" s="241"/>
      <c r="P29" s="36"/>
      <c r="Q29" s="36"/>
      <c r="R29" s="36"/>
      <c r="S29" s="36"/>
      <c r="T29" s="36"/>
    </row>
    <row r="30" spans="1:20" s="36" customFormat="1">
      <c r="A30" s="36">
        <v>4563</v>
      </c>
      <c r="B30" s="36" t="s">
        <v>360</v>
      </c>
      <c r="C30" s="1" t="s">
        <v>219</v>
      </c>
      <c r="D30" s="1" t="s">
        <v>239</v>
      </c>
      <c r="E30" s="217" t="s">
        <v>83</v>
      </c>
      <c r="F30" s="368">
        <v>15000000</v>
      </c>
      <c r="G30" s="368">
        <v>15000000</v>
      </c>
      <c r="H30" s="34">
        <v>42382</v>
      </c>
      <c r="I30" s="34">
        <f>H30+35</f>
        <v>42417</v>
      </c>
      <c r="J30" s="445">
        <v>15000000</v>
      </c>
      <c r="K30" s="34">
        <f>H30+180</f>
        <v>42562</v>
      </c>
      <c r="L30" s="31">
        <v>0</v>
      </c>
      <c r="M30" s="31">
        <f t="shared" ref="M30:M37" si="4">G30-L30</f>
        <v>15000000</v>
      </c>
      <c r="N30" s="34">
        <v>42530</v>
      </c>
      <c r="O30" s="241"/>
    </row>
    <row r="31" spans="1:20" s="36" customFormat="1">
      <c r="A31" s="36">
        <v>4574</v>
      </c>
      <c r="B31" s="36" t="s">
        <v>360</v>
      </c>
      <c r="C31" s="1" t="s">
        <v>365</v>
      </c>
      <c r="D31" s="1" t="s">
        <v>389</v>
      </c>
      <c r="E31" s="217" t="s">
        <v>366</v>
      </c>
      <c r="F31" s="368">
        <v>100000000</v>
      </c>
      <c r="G31" s="368">
        <v>100000000</v>
      </c>
      <c r="H31" s="34">
        <v>42410</v>
      </c>
      <c r="I31" s="34">
        <f>H31+35</f>
        <v>42445</v>
      </c>
      <c r="J31" s="368">
        <v>100000000</v>
      </c>
      <c r="K31" s="34">
        <f>H31+150</f>
        <v>42560</v>
      </c>
      <c r="L31" s="31">
        <v>0</v>
      </c>
      <c r="M31" s="31">
        <f t="shared" si="4"/>
        <v>100000000</v>
      </c>
      <c r="N31" s="34">
        <v>42531</v>
      </c>
      <c r="O31" s="241"/>
    </row>
    <row r="32" spans="1:20" s="642" customFormat="1">
      <c r="A32" s="36">
        <v>4575</v>
      </c>
      <c r="B32" s="36" t="s">
        <v>86</v>
      </c>
      <c r="C32" s="1" t="s">
        <v>209</v>
      </c>
      <c r="D32" s="1" t="s">
        <v>482</v>
      </c>
      <c r="E32" s="217" t="s">
        <v>192</v>
      </c>
      <c r="F32" s="368">
        <v>65000000</v>
      </c>
      <c r="G32" s="368">
        <v>65000000</v>
      </c>
      <c r="H32" s="34">
        <v>42410</v>
      </c>
      <c r="I32" s="34">
        <f>H32+35</f>
        <v>42445</v>
      </c>
      <c r="J32" s="445">
        <v>65000000</v>
      </c>
      <c r="K32" s="34">
        <f>H32+150</f>
        <v>42560</v>
      </c>
      <c r="L32" s="646">
        <v>59791575.399999999</v>
      </c>
      <c r="M32" s="56">
        <f t="shared" si="4"/>
        <v>5208424.6000000015</v>
      </c>
      <c r="N32" s="34">
        <v>42556</v>
      </c>
      <c r="O32" s="643"/>
    </row>
    <row r="33" spans="1:15" s="36" customFormat="1">
      <c r="A33" s="36">
        <v>4567</v>
      </c>
      <c r="B33" s="36" t="s">
        <v>360</v>
      </c>
      <c r="C33" s="1" t="s">
        <v>281</v>
      </c>
      <c r="D33" s="444" t="s">
        <v>265</v>
      </c>
      <c r="E33" s="217" t="s">
        <v>85</v>
      </c>
      <c r="F33" s="368">
        <v>50000000</v>
      </c>
      <c r="G33" s="368">
        <v>50000000</v>
      </c>
      <c r="H33" s="34">
        <v>42392</v>
      </c>
      <c r="I33" s="34">
        <f>H33+35</f>
        <v>42427</v>
      </c>
      <c r="J33" s="368">
        <v>50000000</v>
      </c>
      <c r="K33" s="34">
        <f>H33+180</f>
        <v>42572</v>
      </c>
      <c r="L33" s="56">
        <v>0</v>
      </c>
      <c r="M33" s="31">
        <f t="shared" si="4"/>
        <v>50000000</v>
      </c>
      <c r="N33" s="34"/>
      <c r="O33" s="241"/>
    </row>
    <row r="34" spans="1:15" s="36" customFormat="1">
      <c r="A34" s="36" t="s">
        <v>371</v>
      </c>
      <c r="B34" s="36" t="s">
        <v>360</v>
      </c>
      <c r="C34" s="1" t="s">
        <v>107</v>
      </c>
      <c r="D34" s="444" t="s">
        <v>372</v>
      </c>
      <c r="E34" s="217" t="s">
        <v>84</v>
      </c>
      <c r="F34" s="368">
        <v>0</v>
      </c>
      <c r="G34" s="368">
        <v>0</v>
      </c>
      <c r="H34" s="34"/>
      <c r="I34" s="34"/>
      <c r="J34" s="31"/>
      <c r="K34" s="34"/>
      <c r="L34" s="56"/>
      <c r="M34" s="31">
        <f t="shared" si="4"/>
        <v>0</v>
      </c>
      <c r="N34" s="34"/>
      <c r="O34" s="241"/>
    </row>
    <row r="35" spans="1:15" s="36" customFormat="1">
      <c r="A35" s="36" t="s">
        <v>373</v>
      </c>
      <c r="B35" s="36" t="s">
        <v>360</v>
      </c>
      <c r="C35" s="1" t="s">
        <v>107</v>
      </c>
      <c r="D35" s="444" t="s">
        <v>374</v>
      </c>
      <c r="E35" s="217" t="s">
        <v>84</v>
      </c>
      <c r="F35" s="368">
        <v>0</v>
      </c>
      <c r="G35" s="368">
        <v>0</v>
      </c>
      <c r="H35" s="34"/>
      <c r="I35" s="34"/>
      <c r="J35" s="31"/>
      <c r="K35" s="34"/>
      <c r="L35" s="31"/>
      <c r="M35" s="31">
        <f t="shared" si="4"/>
        <v>0</v>
      </c>
      <c r="N35" s="34"/>
      <c r="O35" s="241"/>
    </row>
    <row r="36" spans="1:15" s="36" customFormat="1">
      <c r="A36" s="36">
        <v>4569</v>
      </c>
      <c r="B36" s="36" t="s">
        <v>86</v>
      </c>
      <c r="C36" s="297" t="s">
        <v>219</v>
      </c>
      <c r="D36" s="297" t="s">
        <v>255</v>
      </c>
      <c r="E36" s="217" t="s">
        <v>256</v>
      </c>
      <c r="F36" s="368">
        <v>34000000</v>
      </c>
      <c r="G36" s="368">
        <v>34000000</v>
      </c>
      <c r="H36" s="34">
        <v>42404</v>
      </c>
      <c r="I36" s="34">
        <f t="shared" ref="I36:I54" si="5">H36+35</f>
        <v>42439</v>
      </c>
      <c r="J36" s="368">
        <v>34000000</v>
      </c>
      <c r="K36" s="34">
        <f t="shared" ref="K36:K53" si="6">H36+180</f>
        <v>42584</v>
      </c>
      <c r="L36" s="31">
        <v>0</v>
      </c>
      <c r="M36" s="31">
        <f t="shared" si="4"/>
        <v>34000000</v>
      </c>
      <c r="N36" s="34">
        <v>42430</v>
      </c>
      <c r="O36" s="241" t="s">
        <v>357</v>
      </c>
    </row>
    <row r="37" spans="1:15" s="36" customFormat="1">
      <c r="A37" s="36">
        <v>4579</v>
      </c>
      <c r="B37" s="36" t="s">
        <v>86</v>
      </c>
      <c r="C37" s="297" t="s">
        <v>219</v>
      </c>
      <c r="D37" s="297" t="s">
        <v>376</v>
      </c>
      <c r="E37" s="217" t="s">
        <v>83</v>
      </c>
      <c r="F37" s="368">
        <v>30000000</v>
      </c>
      <c r="G37" s="368">
        <v>30000000</v>
      </c>
      <c r="H37" s="34">
        <v>42419</v>
      </c>
      <c r="I37" s="34">
        <f t="shared" si="5"/>
        <v>42454</v>
      </c>
      <c r="J37" s="445">
        <v>30000000</v>
      </c>
      <c r="K37" s="34">
        <f t="shared" si="6"/>
        <v>42599</v>
      </c>
      <c r="L37" s="31">
        <v>26000000</v>
      </c>
      <c r="M37" s="31">
        <f t="shared" si="4"/>
        <v>4000000</v>
      </c>
      <c r="N37" s="34">
        <v>42594</v>
      </c>
      <c r="O37" s="241"/>
    </row>
    <row r="38" spans="1:15" s="36" customFormat="1">
      <c r="A38" s="36">
        <v>4580</v>
      </c>
      <c r="B38" s="36" t="s">
        <v>86</v>
      </c>
      <c r="C38" s="1" t="s">
        <v>107</v>
      </c>
      <c r="D38" s="444" t="s">
        <v>374</v>
      </c>
      <c r="E38" s="217" t="s">
        <v>84</v>
      </c>
      <c r="F38" s="368">
        <v>20000000</v>
      </c>
      <c r="G38" s="368">
        <v>20000000</v>
      </c>
      <c r="H38" s="34">
        <v>42419</v>
      </c>
      <c r="I38" s="34">
        <f t="shared" si="5"/>
        <v>42454</v>
      </c>
      <c r="J38" s="368">
        <v>20000000</v>
      </c>
      <c r="K38" s="34">
        <f t="shared" si="6"/>
        <v>42599</v>
      </c>
      <c r="L38" s="368">
        <v>20000000</v>
      </c>
      <c r="M38" s="31">
        <f t="shared" ref="M38:M44" si="7">G38-L38</f>
        <v>0</v>
      </c>
      <c r="N38" s="34">
        <v>42588</v>
      </c>
      <c r="O38" s="241"/>
    </row>
    <row r="39" spans="1:15" s="36" customFormat="1">
      <c r="A39" s="36">
        <v>4596</v>
      </c>
      <c r="B39" s="36" t="s">
        <v>360</v>
      </c>
      <c r="C39" s="1" t="s">
        <v>107</v>
      </c>
      <c r="D39" s="444" t="s">
        <v>372</v>
      </c>
      <c r="E39" s="217" t="s">
        <v>84</v>
      </c>
      <c r="F39" s="368">
        <v>30000000</v>
      </c>
      <c r="G39" s="368">
        <v>30000000</v>
      </c>
      <c r="H39" s="34">
        <v>42447</v>
      </c>
      <c r="I39" s="34">
        <f t="shared" si="5"/>
        <v>42482</v>
      </c>
      <c r="J39" s="368">
        <v>30000000</v>
      </c>
      <c r="K39" s="34">
        <f t="shared" si="6"/>
        <v>42627</v>
      </c>
      <c r="L39" s="31">
        <v>0</v>
      </c>
      <c r="M39" s="31">
        <f t="shared" si="7"/>
        <v>30000000</v>
      </c>
      <c r="N39" s="34">
        <v>42552</v>
      </c>
      <c r="O39" s="241"/>
    </row>
    <row r="40" spans="1:15" s="36" customFormat="1">
      <c r="A40" s="36">
        <v>4576</v>
      </c>
      <c r="B40" s="36" t="s">
        <v>360</v>
      </c>
      <c r="C40" s="1" t="s">
        <v>385</v>
      </c>
      <c r="D40" s="444" t="s">
        <v>203</v>
      </c>
      <c r="E40" s="217" t="s">
        <v>88</v>
      </c>
      <c r="F40" s="368">
        <v>30000000</v>
      </c>
      <c r="G40" s="368">
        <v>30000000</v>
      </c>
      <c r="H40" s="34">
        <v>42410</v>
      </c>
      <c r="I40" s="34">
        <f t="shared" si="5"/>
        <v>42445</v>
      </c>
      <c r="J40" s="368">
        <v>30000000</v>
      </c>
      <c r="K40" s="34">
        <f t="shared" si="6"/>
        <v>42590</v>
      </c>
      <c r="L40" s="56">
        <v>0</v>
      </c>
      <c r="M40" s="31">
        <f t="shared" si="7"/>
        <v>30000000</v>
      </c>
      <c r="N40" s="34">
        <v>42559</v>
      </c>
      <c r="O40" s="241"/>
    </row>
    <row r="41" spans="1:15" s="36" customFormat="1">
      <c r="A41" s="36">
        <v>4605</v>
      </c>
      <c r="B41" s="36" t="s">
        <v>86</v>
      </c>
      <c r="C41" s="129" t="s">
        <v>281</v>
      </c>
      <c r="D41" s="129" t="s">
        <v>311</v>
      </c>
      <c r="E41" s="129" t="s">
        <v>85</v>
      </c>
      <c r="F41" s="412">
        <v>28000000</v>
      </c>
      <c r="G41" s="412">
        <v>28000000</v>
      </c>
      <c r="H41" s="34">
        <v>42480</v>
      </c>
      <c r="I41" s="34">
        <f t="shared" si="5"/>
        <v>42515</v>
      </c>
      <c r="J41" s="412">
        <v>28000000</v>
      </c>
      <c r="K41" s="34">
        <f t="shared" si="6"/>
        <v>42660</v>
      </c>
      <c r="L41" s="31">
        <v>23500000</v>
      </c>
      <c r="M41" s="31">
        <f t="shared" si="7"/>
        <v>4500000</v>
      </c>
      <c r="N41" s="34">
        <v>42656</v>
      </c>
      <c r="O41" s="241"/>
    </row>
    <row r="42" spans="1:15" s="36" customFormat="1">
      <c r="A42" s="36">
        <v>4613</v>
      </c>
      <c r="B42" s="36" t="s">
        <v>360</v>
      </c>
      <c r="C42" s="129" t="s">
        <v>397</v>
      </c>
      <c r="D42" s="129" t="s">
        <v>396</v>
      </c>
      <c r="E42" s="129" t="s">
        <v>151</v>
      </c>
      <c r="F42" s="412">
        <v>26000000</v>
      </c>
      <c r="G42" s="412">
        <v>26000000</v>
      </c>
      <c r="H42" s="34">
        <v>42516</v>
      </c>
      <c r="I42" s="34">
        <f t="shared" si="5"/>
        <v>42551</v>
      </c>
      <c r="J42" s="412">
        <v>26000000</v>
      </c>
      <c r="K42" s="34">
        <f t="shared" si="6"/>
        <v>42696</v>
      </c>
      <c r="L42" s="445">
        <v>0</v>
      </c>
      <c r="M42" s="31">
        <f t="shared" si="7"/>
        <v>26000000</v>
      </c>
      <c r="N42" s="34">
        <v>42657</v>
      </c>
      <c r="O42" s="241"/>
    </row>
    <row r="43" spans="1:15" s="36" customFormat="1">
      <c r="A43" s="36">
        <v>4593</v>
      </c>
      <c r="B43" s="36" t="s">
        <v>360</v>
      </c>
      <c r="C43" s="52" t="s">
        <v>89</v>
      </c>
      <c r="D43" s="129" t="s">
        <v>218</v>
      </c>
      <c r="E43" s="129" t="s">
        <v>151</v>
      </c>
      <c r="F43" s="412">
        <v>25000000</v>
      </c>
      <c r="G43" s="412">
        <v>25000000</v>
      </c>
      <c r="H43" s="34">
        <v>42431</v>
      </c>
      <c r="I43" s="34">
        <f>H43+35</f>
        <v>42466</v>
      </c>
      <c r="J43" s="445">
        <v>25000000</v>
      </c>
      <c r="K43" s="34">
        <f>H43+180</f>
        <v>42611</v>
      </c>
      <c r="L43" s="31">
        <v>0</v>
      </c>
      <c r="M43" s="31">
        <f t="shared" si="7"/>
        <v>25000000</v>
      </c>
      <c r="N43" s="34">
        <v>42566</v>
      </c>
      <c r="O43" s="241"/>
    </row>
    <row r="44" spans="1:15" s="36" customFormat="1">
      <c r="A44" s="36">
        <v>4614</v>
      </c>
      <c r="B44" s="36" t="s">
        <v>86</v>
      </c>
      <c r="C44" s="129" t="s">
        <v>375</v>
      </c>
      <c r="D44" s="297" t="s">
        <v>349</v>
      </c>
      <c r="E44" s="297" t="s">
        <v>350</v>
      </c>
      <c r="F44" s="412">
        <v>25000000</v>
      </c>
      <c r="G44" s="412">
        <v>25000000</v>
      </c>
      <c r="H44" s="34">
        <v>42516</v>
      </c>
      <c r="I44" s="34">
        <f t="shared" si="5"/>
        <v>42551</v>
      </c>
      <c r="J44" s="412">
        <v>25000000</v>
      </c>
      <c r="K44" s="34">
        <f t="shared" si="6"/>
        <v>42696</v>
      </c>
      <c r="L44" s="31">
        <v>24000000</v>
      </c>
      <c r="M44" s="31">
        <f t="shared" si="7"/>
        <v>1000000</v>
      </c>
      <c r="N44" s="34">
        <v>42685</v>
      </c>
      <c r="O44" s="241"/>
    </row>
    <row r="45" spans="1:15" s="36" customFormat="1">
      <c r="A45" s="36">
        <v>4616</v>
      </c>
      <c r="B45" s="36" t="s">
        <v>360</v>
      </c>
      <c r="C45" s="129" t="s">
        <v>419</v>
      </c>
      <c r="D45" s="297" t="s">
        <v>420</v>
      </c>
      <c r="E45" s="297" t="s">
        <v>82</v>
      </c>
      <c r="F45" s="412">
        <v>35000000</v>
      </c>
      <c r="G45" s="412">
        <v>35000000</v>
      </c>
      <c r="H45" s="34">
        <v>42516</v>
      </c>
      <c r="I45" s="34">
        <f t="shared" si="5"/>
        <v>42551</v>
      </c>
      <c r="J45" s="412">
        <v>35000000</v>
      </c>
      <c r="K45" s="34">
        <f t="shared" si="6"/>
        <v>42696</v>
      </c>
      <c r="L45" s="31">
        <v>0</v>
      </c>
      <c r="M45" s="31">
        <f t="shared" ref="M45:M50" si="8">G45-L45</f>
        <v>35000000</v>
      </c>
      <c r="N45" s="34">
        <v>42651</v>
      </c>
      <c r="O45" s="241"/>
    </row>
    <row r="46" spans="1:15" s="36" customFormat="1">
      <c r="A46" s="36">
        <v>4617</v>
      </c>
      <c r="B46" s="36" t="s">
        <v>86</v>
      </c>
      <c r="C46" s="297" t="s">
        <v>219</v>
      </c>
      <c r="D46" s="297" t="s">
        <v>421</v>
      </c>
      <c r="E46" s="297" t="s">
        <v>83</v>
      </c>
      <c r="F46" s="412">
        <v>44000000</v>
      </c>
      <c r="G46" s="412">
        <v>44000000</v>
      </c>
      <c r="H46" s="34">
        <v>42524</v>
      </c>
      <c r="I46" s="34">
        <f t="shared" si="5"/>
        <v>42559</v>
      </c>
      <c r="J46" s="412">
        <v>44000000</v>
      </c>
      <c r="K46" s="34">
        <f t="shared" si="6"/>
        <v>42704</v>
      </c>
      <c r="L46" s="31">
        <v>40085000</v>
      </c>
      <c r="M46" s="31">
        <f t="shared" si="8"/>
        <v>3915000</v>
      </c>
      <c r="N46" s="34">
        <v>42704</v>
      </c>
      <c r="O46" s="241"/>
    </row>
    <row r="47" spans="1:15" s="36" customFormat="1">
      <c r="A47" s="36">
        <v>4618</v>
      </c>
      <c r="B47" s="36" t="s">
        <v>360</v>
      </c>
      <c r="C47" s="297" t="s">
        <v>320</v>
      </c>
      <c r="D47" s="297" t="s">
        <v>428</v>
      </c>
      <c r="E47" s="297" t="s">
        <v>84</v>
      </c>
      <c r="F47" s="412">
        <v>35000000</v>
      </c>
      <c r="G47" s="412">
        <v>35000000</v>
      </c>
      <c r="H47" s="34">
        <v>42524</v>
      </c>
      <c r="I47" s="34">
        <f t="shared" si="5"/>
        <v>42559</v>
      </c>
      <c r="J47" s="445">
        <v>0</v>
      </c>
      <c r="K47" s="34">
        <f t="shared" si="6"/>
        <v>42704</v>
      </c>
      <c r="L47" s="31">
        <v>0</v>
      </c>
      <c r="M47" s="31">
        <f t="shared" si="8"/>
        <v>35000000</v>
      </c>
      <c r="N47" s="34">
        <v>42549</v>
      </c>
      <c r="O47" s="241"/>
    </row>
    <row r="48" spans="1:15" s="36" customFormat="1">
      <c r="A48" s="36">
        <v>4619</v>
      </c>
      <c r="B48" s="36" t="s">
        <v>86</v>
      </c>
      <c r="C48" s="129" t="s">
        <v>294</v>
      </c>
      <c r="D48" s="297" t="s">
        <v>295</v>
      </c>
      <c r="E48" s="297" t="s">
        <v>296</v>
      </c>
      <c r="F48" s="412">
        <v>15000000</v>
      </c>
      <c r="G48" s="412">
        <v>15000000</v>
      </c>
      <c r="H48" s="34">
        <v>42524</v>
      </c>
      <c r="I48" s="34">
        <f t="shared" si="5"/>
        <v>42559</v>
      </c>
      <c r="J48" s="412">
        <v>15000000</v>
      </c>
      <c r="K48" s="34">
        <f t="shared" si="6"/>
        <v>42704</v>
      </c>
      <c r="L48" s="31">
        <v>11100000</v>
      </c>
      <c r="M48" s="31">
        <f t="shared" si="8"/>
        <v>3900000</v>
      </c>
      <c r="N48" s="34">
        <v>42703</v>
      </c>
      <c r="O48" s="241"/>
    </row>
    <row r="49" spans="1:15" s="36" customFormat="1">
      <c r="A49" s="36">
        <v>4620</v>
      </c>
      <c r="B49" s="36" t="s">
        <v>360</v>
      </c>
      <c r="C49" s="1" t="s">
        <v>281</v>
      </c>
      <c r="D49" s="444" t="s">
        <v>265</v>
      </c>
      <c r="E49" s="217" t="s">
        <v>85</v>
      </c>
      <c r="F49" s="368">
        <v>50000000</v>
      </c>
      <c r="G49" s="368">
        <v>50000000</v>
      </c>
      <c r="H49" s="34">
        <v>42525</v>
      </c>
      <c r="I49" s="34">
        <f t="shared" si="5"/>
        <v>42560</v>
      </c>
      <c r="J49" s="368">
        <v>50000000</v>
      </c>
      <c r="K49" s="34">
        <f t="shared" si="6"/>
        <v>42705</v>
      </c>
      <c r="L49" s="31">
        <v>0</v>
      </c>
      <c r="M49" s="31">
        <f t="shared" si="8"/>
        <v>50000000</v>
      </c>
      <c r="N49" s="34">
        <v>42595</v>
      </c>
      <c r="O49" s="241"/>
    </row>
    <row r="50" spans="1:15" s="36" customFormat="1">
      <c r="A50" s="36">
        <v>4621</v>
      </c>
      <c r="B50" s="36" t="s">
        <v>360</v>
      </c>
      <c r="C50" s="297" t="s">
        <v>219</v>
      </c>
      <c r="D50" s="444" t="s">
        <v>435</v>
      </c>
      <c r="E50" s="217" t="s">
        <v>83</v>
      </c>
      <c r="F50" s="368">
        <v>45000000</v>
      </c>
      <c r="G50" s="368">
        <v>45000000</v>
      </c>
      <c r="H50" s="34">
        <v>42525</v>
      </c>
      <c r="I50" s="34">
        <f t="shared" si="5"/>
        <v>42560</v>
      </c>
      <c r="J50" s="445"/>
      <c r="K50" s="34">
        <f t="shared" si="6"/>
        <v>42705</v>
      </c>
      <c r="L50" s="31">
        <v>0</v>
      </c>
      <c r="M50" s="31">
        <f t="shared" si="8"/>
        <v>45000000</v>
      </c>
      <c r="N50" s="34">
        <v>42556</v>
      </c>
      <c r="O50" s="241"/>
    </row>
    <row r="51" spans="1:15" s="36" customFormat="1">
      <c r="A51" s="36" t="s">
        <v>434</v>
      </c>
      <c r="B51" s="36" t="s">
        <v>360</v>
      </c>
      <c r="C51" s="297" t="s">
        <v>219</v>
      </c>
      <c r="D51" s="444" t="s">
        <v>438</v>
      </c>
      <c r="E51" s="217" t="s">
        <v>83</v>
      </c>
      <c r="F51" s="368">
        <v>0</v>
      </c>
      <c r="G51" s="368">
        <v>0</v>
      </c>
      <c r="H51" s="34"/>
      <c r="I51" s="34"/>
      <c r="J51" s="445">
        <v>0</v>
      </c>
      <c r="K51" s="34"/>
      <c r="L51" s="31">
        <v>0</v>
      </c>
      <c r="M51" s="31">
        <v>0</v>
      </c>
      <c r="N51" s="34">
        <v>42525</v>
      </c>
      <c r="O51" s="241"/>
    </row>
    <row r="52" spans="1:15" s="36" customFormat="1">
      <c r="A52" s="36">
        <v>4622</v>
      </c>
      <c r="B52" s="36" t="s">
        <v>360</v>
      </c>
      <c r="C52" s="297" t="s">
        <v>219</v>
      </c>
      <c r="D52" s="444" t="s">
        <v>436</v>
      </c>
      <c r="E52" s="217" t="s">
        <v>83</v>
      </c>
      <c r="F52" s="368">
        <v>50000000</v>
      </c>
      <c r="G52" s="368">
        <v>50000000</v>
      </c>
      <c r="H52" s="34">
        <v>42531</v>
      </c>
      <c r="I52" s="34">
        <f t="shared" si="5"/>
        <v>42566</v>
      </c>
      <c r="J52" s="445"/>
      <c r="K52" s="34">
        <f t="shared" si="6"/>
        <v>42711</v>
      </c>
      <c r="L52" s="31">
        <v>0</v>
      </c>
      <c r="M52" s="31">
        <f t="shared" ref="M52:M60" si="9">G52-L52</f>
        <v>50000000</v>
      </c>
      <c r="N52" s="34">
        <v>42556</v>
      </c>
      <c r="O52" s="241"/>
    </row>
    <row r="53" spans="1:15" s="36" customFormat="1">
      <c r="A53" s="36">
        <v>4624</v>
      </c>
      <c r="B53" s="36" t="s">
        <v>360</v>
      </c>
      <c r="C53" s="297" t="s">
        <v>219</v>
      </c>
      <c r="D53" s="444" t="s">
        <v>437</v>
      </c>
      <c r="E53" s="217" t="s">
        <v>83</v>
      </c>
      <c r="F53" s="368">
        <v>45000000</v>
      </c>
      <c r="G53" s="368">
        <v>45000000</v>
      </c>
      <c r="H53" s="34">
        <v>42531</v>
      </c>
      <c r="I53" s="34">
        <f t="shared" si="5"/>
        <v>42566</v>
      </c>
      <c r="J53" s="445"/>
      <c r="K53" s="34">
        <f t="shared" si="6"/>
        <v>42711</v>
      </c>
      <c r="L53" s="31">
        <v>0</v>
      </c>
      <c r="M53" s="31">
        <f t="shared" si="9"/>
        <v>45000000</v>
      </c>
      <c r="N53" s="34">
        <v>42556</v>
      </c>
      <c r="O53" s="241"/>
    </row>
    <row r="54" spans="1:15" s="36" customFormat="1">
      <c r="A54" s="36">
        <v>4625</v>
      </c>
      <c r="B54" s="36" t="s">
        <v>360</v>
      </c>
      <c r="C54" s="297" t="s">
        <v>303</v>
      </c>
      <c r="D54" s="444" t="s">
        <v>440</v>
      </c>
      <c r="E54" s="217" t="s">
        <v>441</v>
      </c>
      <c r="F54" s="368">
        <v>80000000</v>
      </c>
      <c r="G54" s="368">
        <v>80000000</v>
      </c>
      <c r="H54" s="34">
        <v>42538</v>
      </c>
      <c r="I54" s="34">
        <f t="shared" si="5"/>
        <v>42573</v>
      </c>
      <c r="J54" s="368">
        <v>80000000</v>
      </c>
      <c r="K54" s="34">
        <f>H54+150</f>
        <v>42688</v>
      </c>
      <c r="L54" s="31">
        <v>0</v>
      </c>
      <c r="M54" s="31">
        <f t="shared" si="9"/>
        <v>80000000</v>
      </c>
      <c r="N54" s="34"/>
      <c r="O54" s="241"/>
    </row>
    <row r="55" spans="1:15" s="36" customFormat="1">
      <c r="A55" s="36">
        <v>4626</v>
      </c>
      <c r="B55" s="36" t="s">
        <v>360</v>
      </c>
      <c r="C55" s="1" t="s">
        <v>281</v>
      </c>
      <c r="D55" s="444" t="s">
        <v>450</v>
      </c>
      <c r="E55" s="217" t="s">
        <v>85</v>
      </c>
      <c r="F55" s="368">
        <v>35000000</v>
      </c>
      <c r="G55" s="368">
        <v>35000000</v>
      </c>
      <c r="H55" s="34">
        <v>42538</v>
      </c>
      <c r="I55" s="34">
        <f t="shared" ref="I55" si="10">H55+35</f>
        <v>42573</v>
      </c>
      <c r="J55" s="368">
        <v>35000000</v>
      </c>
      <c r="K55" s="34">
        <f t="shared" ref="K55" si="11">H55+180</f>
        <v>42718</v>
      </c>
      <c r="L55" s="31"/>
      <c r="M55" s="31">
        <f t="shared" si="9"/>
        <v>35000000</v>
      </c>
      <c r="N55" s="34">
        <v>42707</v>
      </c>
      <c r="O55" s="241"/>
    </row>
    <row r="56" spans="1:15" s="36" customFormat="1">
      <c r="A56" s="36" t="s">
        <v>453</v>
      </c>
      <c r="B56" s="36" t="s">
        <v>360</v>
      </c>
      <c r="C56" s="1" t="s">
        <v>454</v>
      </c>
      <c r="D56" s="444" t="s">
        <v>455</v>
      </c>
      <c r="E56" s="217" t="s">
        <v>103</v>
      </c>
      <c r="F56" s="368">
        <v>0</v>
      </c>
      <c r="G56" s="368">
        <v>0</v>
      </c>
      <c r="H56" s="34"/>
      <c r="I56" s="34"/>
      <c r="J56" s="445">
        <v>0</v>
      </c>
      <c r="K56" s="34"/>
      <c r="L56" s="31">
        <v>0</v>
      </c>
      <c r="M56" s="31">
        <f t="shared" si="9"/>
        <v>0</v>
      </c>
      <c r="N56" s="34">
        <v>42535</v>
      </c>
      <c r="O56" s="241"/>
    </row>
    <row r="57" spans="1:15" s="36" customFormat="1">
      <c r="A57" s="36">
        <v>4627</v>
      </c>
      <c r="B57" s="36" t="s">
        <v>86</v>
      </c>
      <c r="C57" s="129" t="s">
        <v>318</v>
      </c>
      <c r="D57" s="129" t="s">
        <v>319</v>
      </c>
      <c r="E57" s="129" t="s">
        <v>211</v>
      </c>
      <c r="F57" s="412">
        <v>25000000</v>
      </c>
      <c r="G57" s="412">
        <v>25000000</v>
      </c>
      <c r="H57" s="34">
        <v>42538</v>
      </c>
      <c r="I57" s="34">
        <f t="shared" ref="I57:I66" si="12">H57+35</f>
        <v>42573</v>
      </c>
      <c r="J57" s="412">
        <v>25000000</v>
      </c>
      <c r="K57" s="34">
        <f t="shared" ref="K57:K66" si="13">H57+180</f>
        <v>42718</v>
      </c>
      <c r="L57" s="31">
        <v>25000000</v>
      </c>
      <c r="M57" s="31">
        <f t="shared" si="9"/>
        <v>0</v>
      </c>
      <c r="N57" s="34">
        <v>42717</v>
      </c>
      <c r="O57" s="241"/>
    </row>
    <row r="58" spans="1:15" s="36" customFormat="1">
      <c r="A58" s="36">
        <v>4630</v>
      </c>
      <c r="B58" s="36" t="s">
        <v>360</v>
      </c>
      <c r="C58" s="129" t="s">
        <v>303</v>
      </c>
      <c r="D58" s="297" t="s">
        <v>310</v>
      </c>
      <c r="E58" s="297" t="s">
        <v>84</v>
      </c>
      <c r="F58" s="412">
        <v>100000000</v>
      </c>
      <c r="G58" s="412">
        <v>100000000</v>
      </c>
      <c r="H58" s="34">
        <v>42557</v>
      </c>
      <c r="I58" s="34">
        <f t="shared" si="12"/>
        <v>42592</v>
      </c>
      <c r="J58" s="412">
        <v>100000000</v>
      </c>
      <c r="K58" s="34">
        <f>H58+150</f>
        <v>42707</v>
      </c>
      <c r="L58" s="31">
        <v>0</v>
      </c>
      <c r="M58" s="31">
        <f t="shared" si="9"/>
        <v>100000000</v>
      </c>
      <c r="N58" s="34">
        <v>42630</v>
      </c>
      <c r="O58" s="241"/>
    </row>
    <row r="59" spans="1:15" s="36" customFormat="1">
      <c r="A59" s="36">
        <v>4631</v>
      </c>
      <c r="B59" s="36" t="s">
        <v>86</v>
      </c>
      <c r="C59" s="1" t="s">
        <v>219</v>
      </c>
      <c r="D59" s="444" t="s">
        <v>239</v>
      </c>
      <c r="E59" s="217" t="s">
        <v>83</v>
      </c>
      <c r="F59" s="368">
        <v>15000000</v>
      </c>
      <c r="G59" s="368">
        <v>15000000</v>
      </c>
      <c r="H59" s="34">
        <v>42557</v>
      </c>
      <c r="I59" s="34">
        <f t="shared" si="12"/>
        <v>42592</v>
      </c>
      <c r="J59" s="445">
        <v>15000000</v>
      </c>
      <c r="K59" s="34">
        <f t="shared" si="13"/>
        <v>42737</v>
      </c>
      <c r="L59" s="31">
        <v>15000000</v>
      </c>
      <c r="M59" s="31">
        <f t="shared" si="9"/>
        <v>0</v>
      </c>
      <c r="N59" s="34">
        <v>42613</v>
      </c>
      <c r="O59" s="241"/>
    </row>
    <row r="60" spans="1:15" s="36" customFormat="1">
      <c r="A60" s="36">
        <v>4632</v>
      </c>
      <c r="B60" s="36" t="s">
        <v>86</v>
      </c>
      <c r="C60" s="1" t="s">
        <v>107</v>
      </c>
      <c r="D60" s="444" t="s">
        <v>372</v>
      </c>
      <c r="E60" s="217" t="s">
        <v>84</v>
      </c>
      <c r="F60" s="368">
        <v>40000000</v>
      </c>
      <c r="G60" s="368">
        <v>40000000</v>
      </c>
      <c r="H60" s="34">
        <v>42557</v>
      </c>
      <c r="I60" s="34">
        <f t="shared" si="12"/>
        <v>42592</v>
      </c>
      <c r="J60" s="368">
        <v>40000000</v>
      </c>
      <c r="K60" s="34">
        <f t="shared" si="13"/>
        <v>42737</v>
      </c>
      <c r="L60" s="31">
        <v>37003000</v>
      </c>
      <c r="M60" s="31">
        <f t="shared" si="9"/>
        <v>2997000</v>
      </c>
      <c r="N60" s="34">
        <v>42671</v>
      </c>
      <c r="O60" s="241"/>
    </row>
    <row r="61" spans="1:15" s="36" customFormat="1">
      <c r="A61" s="36">
        <v>4633</v>
      </c>
      <c r="B61" s="36" t="s">
        <v>80</v>
      </c>
      <c r="C61" s="297" t="s">
        <v>320</v>
      </c>
      <c r="D61" s="297" t="s">
        <v>428</v>
      </c>
      <c r="E61" s="297" t="s">
        <v>84</v>
      </c>
      <c r="F61" s="412">
        <v>35000000</v>
      </c>
      <c r="G61" s="412">
        <v>35000000</v>
      </c>
      <c r="H61" s="34">
        <v>42557</v>
      </c>
      <c r="I61" s="34">
        <f t="shared" si="12"/>
        <v>42592</v>
      </c>
      <c r="J61" s="412">
        <v>35000000</v>
      </c>
      <c r="K61" s="34">
        <f t="shared" si="13"/>
        <v>42737</v>
      </c>
      <c r="L61" s="31"/>
      <c r="M61" s="31"/>
      <c r="N61" s="34"/>
      <c r="O61" s="241"/>
    </row>
    <row r="62" spans="1:15" s="36" customFormat="1">
      <c r="A62" s="36">
        <v>4634</v>
      </c>
      <c r="B62" s="36" t="s">
        <v>80</v>
      </c>
      <c r="C62" s="1" t="s">
        <v>454</v>
      </c>
      <c r="D62" s="444" t="s">
        <v>455</v>
      </c>
      <c r="E62" s="217" t="s">
        <v>103</v>
      </c>
      <c r="F62" s="412">
        <v>20000000</v>
      </c>
      <c r="G62" s="412">
        <v>20000000</v>
      </c>
      <c r="H62" s="34">
        <v>42557</v>
      </c>
      <c r="I62" s="34">
        <f t="shared" si="12"/>
        <v>42592</v>
      </c>
      <c r="J62" s="412">
        <v>20000000</v>
      </c>
      <c r="K62" s="34">
        <f t="shared" si="13"/>
        <v>42737</v>
      </c>
      <c r="L62" s="31"/>
      <c r="M62" s="31"/>
      <c r="N62" s="34"/>
      <c r="O62" s="241"/>
    </row>
    <row r="63" spans="1:15" s="36" customFormat="1">
      <c r="A63" s="36">
        <v>4636</v>
      </c>
      <c r="B63" s="36" t="s">
        <v>360</v>
      </c>
      <c r="C63" s="1" t="s">
        <v>348</v>
      </c>
      <c r="D63" s="444" t="s">
        <v>321</v>
      </c>
      <c r="E63" s="217" t="s">
        <v>164</v>
      </c>
      <c r="F63" s="412">
        <v>30000000</v>
      </c>
      <c r="G63" s="412">
        <v>30000000</v>
      </c>
      <c r="H63" s="34">
        <v>42563</v>
      </c>
      <c r="I63" s="34">
        <f t="shared" si="12"/>
        <v>42598</v>
      </c>
      <c r="J63" s="412">
        <v>30000000</v>
      </c>
      <c r="K63" s="34">
        <f t="shared" si="13"/>
        <v>42743</v>
      </c>
      <c r="L63" s="31"/>
      <c r="M63" s="31">
        <f>G63-L63</f>
        <v>30000000</v>
      </c>
      <c r="N63" s="34">
        <v>42670</v>
      </c>
      <c r="O63" s="241"/>
    </row>
    <row r="64" spans="1:15" s="36" customFormat="1">
      <c r="A64" s="36">
        <v>4639</v>
      </c>
      <c r="B64" s="36" t="s">
        <v>360</v>
      </c>
      <c r="C64" s="52" t="s">
        <v>89</v>
      </c>
      <c r="D64" s="129" t="s">
        <v>218</v>
      </c>
      <c r="E64" s="129" t="s">
        <v>151</v>
      </c>
      <c r="F64" s="412">
        <v>25000000</v>
      </c>
      <c r="G64" s="412">
        <v>25000000</v>
      </c>
      <c r="H64" s="34">
        <v>42584</v>
      </c>
      <c r="I64" s="34">
        <f t="shared" si="12"/>
        <v>42619</v>
      </c>
      <c r="J64" s="412">
        <v>25000000</v>
      </c>
      <c r="K64" s="34">
        <f t="shared" si="13"/>
        <v>42764</v>
      </c>
      <c r="L64" s="31"/>
      <c r="M64" s="31">
        <f>G64-L64</f>
        <v>25000000</v>
      </c>
      <c r="N64" s="34">
        <v>42725</v>
      </c>
      <c r="O64" s="241"/>
    </row>
    <row r="65" spans="1:20" s="36" customFormat="1">
      <c r="A65" s="36">
        <v>4640</v>
      </c>
      <c r="B65" s="36" t="s">
        <v>86</v>
      </c>
      <c r="C65" s="52" t="s">
        <v>385</v>
      </c>
      <c r="D65" s="129" t="s">
        <v>203</v>
      </c>
      <c r="E65" s="129" t="s">
        <v>88</v>
      </c>
      <c r="F65" s="412">
        <v>30000000</v>
      </c>
      <c r="G65" s="412">
        <v>30000000</v>
      </c>
      <c r="H65" s="34">
        <v>42584</v>
      </c>
      <c r="I65" s="34">
        <f t="shared" si="12"/>
        <v>42619</v>
      </c>
      <c r="J65" s="412">
        <v>30000000</v>
      </c>
      <c r="K65" s="34">
        <f t="shared" si="13"/>
        <v>42764</v>
      </c>
      <c r="L65" s="31">
        <v>0</v>
      </c>
      <c r="M65" s="31">
        <f>G65-L65</f>
        <v>30000000</v>
      </c>
      <c r="N65" s="34">
        <v>42648</v>
      </c>
      <c r="O65" s="241" t="s">
        <v>569</v>
      </c>
    </row>
    <row r="66" spans="1:20" s="36" customFormat="1">
      <c r="A66" s="36">
        <v>4650</v>
      </c>
      <c r="B66" s="36" t="s">
        <v>80</v>
      </c>
      <c r="C66" s="52" t="s">
        <v>509</v>
      </c>
      <c r="D66" s="129" t="s">
        <v>510</v>
      </c>
      <c r="E66" s="129" t="s">
        <v>511</v>
      </c>
      <c r="F66" s="412">
        <v>51757648</v>
      </c>
      <c r="G66" s="412">
        <v>51757648</v>
      </c>
      <c r="H66" s="34">
        <v>42598</v>
      </c>
      <c r="I66" s="34">
        <f t="shared" si="12"/>
        <v>42633</v>
      </c>
      <c r="J66" s="412">
        <v>51757648</v>
      </c>
      <c r="K66" s="34">
        <f t="shared" si="13"/>
        <v>42778</v>
      </c>
      <c r="L66" s="31"/>
      <c r="M66" s="31"/>
      <c r="N66" s="34"/>
      <c r="O66" s="241"/>
    </row>
    <row r="67" spans="1:20" s="36" customFormat="1">
      <c r="A67" s="36" t="s">
        <v>513</v>
      </c>
      <c r="B67" s="36" t="s">
        <v>45</v>
      </c>
      <c r="C67" s="52" t="s">
        <v>514</v>
      </c>
      <c r="D67" s="129" t="s">
        <v>515</v>
      </c>
      <c r="E67" s="129" t="s">
        <v>516</v>
      </c>
      <c r="F67" s="412"/>
      <c r="G67" s="412"/>
      <c r="H67" s="34"/>
      <c r="I67" s="34"/>
      <c r="J67" s="31"/>
      <c r="K67" s="34"/>
      <c r="L67" s="31"/>
      <c r="M67" s="31"/>
      <c r="N67" s="34"/>
      <c r="O67" s="241"/>
    </row>
    <row r="68" spans="1:20" s="36" customFormat="1">
      <c r="A68" s="36" t="s">
        <v>519</v>
      </c>
      <c r="B68" s="36" t="s">
        <v>45</v>
      </c>
      <c r="C68" s="52" t="s">
        <v>520</v>
      </c>
      <c r="D68" s="129" t="s">
        <v>521</v>
      </c>
      <c r="E68" s="129" t="s">
        <v>522</v>
      </c>
      <c r="F68" s="412"/>
      <c r="G68" s="412"/>
      <c r="H68" s="34"/>
      <c r="I68" s="34"/>
      <c r="J68" s="31"/>
      <c r="K68" s="34"/>
      <c r="L68" s="31"/>
      <c r="M68" s="31"/>
      <c r="N68" s="34"/>
      <c r="O68" s="241"/>
    </row>
    <row r="69" spans="1:20" s="36" customFormat="1">
      <c r="A69" s="36" t="s">
        <v>535</v>
      </c>
      <c r="B69" s="36" t="s">
        <v>45</v>
      </c>
      <c r="C69" s="297" t="s">
        <v>320</v>
      </c>
      <c r="D69" s="129" t="s">
        <v>537</v>
      </c>
      <c r="E69" s="129" t="s">
        <v>84</v>
      </c>
      <c r="F69" s="412"/>
      <c r="G69" s="412"/>
      <c r="H69" s="34"/>
      <c r="I69" s="34"/>
      <c r="J69" s="31"/>
      <c r="K69" s="34"/>
      <c r="L69" s="31"/>
      <c r="M69" s="31"/>
      <c r="N69" s="34"/>
      <c r="O69" s="241"/>
    </row>
    <row r="70" spans="1:20" s="36" customFormat="1">
      <c r="A70" s="36" t="s">
        <v>536</v>
      </c>
      <c r="B70" s="36" t="s">
        <v>45</v>
      </c>
      <c r="C70" s="297" t="s">
        <v>320</v>
      </c>
      <c r="D70" s="129" t="s">
        <v>538</v>
      </c>
      <c r="E70" s="129" t="s">
        <v>84</v>
      </c>
      <c r="F70" s="412"/>
      <c r="G70" s="412"/>
      <c r="H70" s="34"/>
      <c r="I70" s="34"/>
      <c r="J70" s="31"/>
      <c r="K70" s="34"/>
      <c r="L70" s="31"/>
      <c r="M70" s="31"/>
      <c r="N70" s="34"/>
      <c r="O70" s="241"/>
    </row>
    <row r="71" spans="1:20" s="36" customFormat="1">
      <c r="A71" s="36" t="s">
        <v>548</v>
      </c>
      <c r="B71" s="36" t="s">
        <v>45</v>
      </c>
      <c r="C71" s="297" t="s">
        <v>550</v>
      </c>
      <c r="D71" s="129" t="s">
        <v>549</v>
      </c>
      <c r="E71" s="129" t="s">
        <v>85</v>
      </c>
      <c r="F71" s="412"/>
      <c r="G71" s="412"/>
      <c r="H71" s="34"/>
      <c r="I71" s="34"/>
      <c r="J71" s="31"/>
      <c r="K71" s="34"/>
      <c r="L71" s="31"/>
      <c r="M71" s="31"/>
      <c r="N71" s="34"/>
      <c r="O71" s="241"/>
    </row>
    <row r="72" spans="1:20" s="36" customFormat="1">
      <c r="A72" s="36" t="s">
        <v>554</v>
      </c>
      <c r="B72" s="36" t="s">
        <v>45</v>
      </c>
      <c r="C72" s="297" t="s">
        <v>281</v>
      </c>
      <c r="D72" s="129" t="s">
        <v>555</v>
      </c>
      <c r="E72" s="129" t="s">
        <v>85</v>
      </c>
      <c r="F72" s="412"/>
      <c r="G72" s="412"/>
      <c r="H72" s="34"/>
      <c r="I72" s="34"/>
      <c r="J72" s="31"/>
      <c r="K72" s="34"/>
      <c r="L72" s="31"/>
      <c r="M72" s="31"/>
      <c r="N72" s="34"/>
      <c r="O72" s="241"/>
    </row>
    <row r="73" spans="1:20" s="36" customFormat="1">
      <c r="A73" s="36" t="s">
        <v>556</v>
      </c>
      <c r="B73" s="36" t="s">
        <v>45</v>
      </c>
      <c r="C73" s="297" t="s">
        <v>281</v>
      </c>
      <c r="D73" s="129" t="s">
        <v>557</v>
      </c>
      <c r="E73" s="129" t="s">
        <v>85</v>
      </c>
      <c r="F73" s="412"/>
      <c r="G73" s="412"/>
      <c r="H73" s="34"/>
      <c r="I73" s="34"/>
      <c r="J73" s="31"/>
      <c r="K73" s="34"/>
      <c r="L73" s="31"/>
      <c r="M73" s="31"/>
      <c r="N73" s="34"/>
      <c r="O73" s="241"/>
    </row>
    <row r="74" spans="1:20" s="36" customFormat="1">
      <c r="A74" s="36" t="s">
        <v>558</v>
      </c>
      <c r="B74" s="36" t="s">
        <v>45</v>
      </c>
      <c r="C74" s="297" t="s">
        <v>273</v>
      </c>
      <c r="D74" s="129" t="s">
        <v>559</v>
      </c>
      <c r="E74" s="129" t="s">
        <v>192</v>
      </c>
      <c r="F74" s="412"/>
      <c r="G74" s="412"/>
      <c r="H74" s="34"/>
      <c r="I74" s="34"/>
      <c r="J74" s="31"/>
      <c r="K74" s="34"/>
      <c r="L74" s="31"/>
      <c r="M74" s="31"/>
      <c r="N74" s="34"/>
      <c r="O74" s="241"/>
    </row>
    <row r="75" spans="1:20" s="17" customFormat="1">
      <c r="A75" s="36"/>
      <c r="B75" s="52"/>
      <c r="C75" s="1"/>
      <c r="D75" s="52"/>
      <c r="E75" s="52"/>
      <c r="F75" s="13"/>
      <c r="G75" s="13"/>
      <c r="H75" s="34"/>
      <c r="I75" s="34"/>
      <c r="J75" s="13"/>
      <c r="K75" s="9"/>
      <c r="L75" s="56"/>
      <c r="M75" s="90"/>
      <c r="N75" s="34"/>
      <c r="O75" s="241"/>
      <c r="P75" s="36"/>
      <c r="Q75" s="36"/>
      <c r="R75" s="36"/>
      <c r="S75" s="36"/>
      <c r="T75" s="36"/>
    </row>
    <row r="76" spans="1:20">
      <c r="A76" s="10"/>
      <c r="B76" s="237"/>
      <c r="C76" s="5" t="s">
        <v>6</v>
      </c>
      <c r="F76" s="114">
        <f>SUM(F7:F75)</f>
        <v>2280757648</v>
      </c>
      <c r="G76" s="114">
        <f>SUM(G7:G75)</f>
        <v>2280757648</v>
      </c>
      <c r="H76" s="262"/>
      <c r="I76" s="113"/>
      <c r="J76" s="114">
        <f>SUM(J7:J75)</f>
        <v>1847257648</v>
      </c>
      <c r="K76" s="113"/>
      <c r="L76" s="114">
        <f>SUM(L7:L75)</f>
        <v>452766647.80000001</v>
      </c>
      <c r="M76" s="114">
        <f>SUM(M7:M75)</f>
        <v>1721233352.2</v>
      </c>
    </row>
    <row r="77" spans="1:20">
      <c r="A77" s="10"/>
      <c r="B77" s="131"/>
      <c r="K77" s="40"/>
    </row>
    <row r="78" spans="1:20">
      <c r="A78" s="10"/>
      <c r="C78" s="5" t="s">
        <v>45</v>
      </c>
      <c r="D78" s="5"/>
      <c r="E78" s="5"/>
      <c r="F78" s="89">
        <f>F76-G76</f>
        <v>0</v>
      </c>
      <c r="K78" s="40"/>
    </row>
    <row r="79" spans="1:20">
      <c r="A79" s="10"/>
      <c r="C79" s="5"/>
      <c r="D79" s="5"/>
      <c r="E79" s="5"/>
      <c r="F79" s="97"/>
      <c r="I79" s="259"/>
      <c r="L79" s="107">
        <f>L7+L8+L9+L14+L17+L26+L37+L38+L41+L44+L46+L48+L57+L59+L60</f>
        <v>334638000</v>
      </c>
      <c r="O79" s="1"/>
    </row>
    <row r="80" spans="1:20">
      <c r="A80" s="10"/>
      <c r="C80" s="271" t="s">
        <v>78</v>
      </c>
      <c r="D80" s="5"/>
      <c r="E80" s="5"/>
      <c r="F80" s="437">
        <f>C1-G76+M76+E88</f>
        <v>338623117.20000005</v>
      </c>
      <c r="G80" s="146" t="s">
        <v>570</v>
      </c>
      <c r="H80" s="107"/>
      <c r="K80" s="259"/>
      <c r="O80" s="1"/>
    </row>
    <row r="81" spans="1:15">
      <c r="A81" s="10"/>
      <c r="H81" s="397"/>
      <c r="I81" s="3"/>
      <c r="K81" s="107"/>
      <c r="L81" s="13"/>
      <c r="O81" s="1"/>
    </row>
    <row r="82" spans="1:15">
      <c r="A82" s="10"/>
      <c r="G82" s="368"/>
      <c r="H82" s="313"/>
      <c r="O82" s="1"/>
    </row>
    <row r="83" spans="1:15">
      <c r="A83" s="10"/>
      <c r="D83" s="1" t="s">
        <v>7</v>
      </c>
      <c r="F83" s="272"/>
      <c r="G83" s="313"/>
      <c r="H83" s="597"/>
      <c r="O83" s="1"/>
    </row>
    <row r="84" spans="1:15" ht="15.75">
      <c r="E84" s="368"/>
      <c r="G84" s="238"/>
      <c r="H84" s="258"/>
      <c r="O84" s="1"/>
    </row>
    <row r="85" spans="1:15" ht="15.75">
      <c r="E85" s="368"/>
      <c r="G85" s="238"/>
      <c r="H85" s="258"/>
      <c r="O85" s="1"/>
    </row>
    <row r="86" spans="1:15" ht="15.75">
      <c r="C86" s="52"/>
      <c r="E86" s="368"/>
      <c r="G86" s="238"/>
      <c r="H86" s="258"/>
      <c r="O86" s="1"/>
    </row>
    <row r="87" spans="1:15" ht="15.75">
      <c r="C87" s="129"/>
      <c r="E87" s="368"/>
      <c r="G87" s="238"/>
      <c r="H87" s="258"/>
      <c r="O87" s="1"/>
    </row>
    <row r="88" spans="1:15">
      <c r="C88" s="129"/>
      <c r="D88" s="1" t="s">
        <v>408</v>
      </c>
      <c r="E88" s="564">
        <f>SUM(E86:E87)</f>
        <v>0</v>
      </c>
      <c r="F88" s="3"/>
      <c r="G88" s="3"/>
      <c r="O88" s="1"/>
    </row>
    <row r="89" spans="1:15">
      <c r="C89" s="129"/>
      <c r="G89" s="116"/>
      <c r="O89" s="1"/>
    </row>
  </sheetData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51"/>
  <sheetViews>
    <sheetView workbookViewId="0">
      <selection activeCell="J33" sqref="J33"/>
    </sheetView>
  </sheetViews>
  <sheetFormatPr defaultRowHeight="12"/>
  <cols>
    <col min="2" max="2" width="12.140625" bestFit="1" customWidth="1"/>
    <col min="3" max="3" width="23.5703125" customWidth="1"/>
    <col min="4" max="4" width="48.140625" bestFit="1" customWidth="1"/>
    <col min="5" max="5" width="10.5703125" bestFit="1" customWidth="1"/>
    <col min="6" max="6" width="13.5703125" style="391" bestFit="1" customWidth="1"/>
    <col min="7" max="7" width="14.42578125" style="392" bestFit="1" customWidth="1"/>
    <col min="8" max="8" width="15.28515625" style="392" bestFit="1" customWidth="1"/>
    <col min="9" max="9" width="11.5703125" style="392" bestFit="1" customWidth="1"/>
    <col min="10" max="10" width="12.85546875" style="392" bestFit="1" customWidth="1"/>
    <col min="11" max="11" width="11.5703125" style="392" bestFit="1" customWidth="1"/>
    <col min="12" max="12" width="15.140625" style="392" bestFit="1" customWidth="1"/>
    <col min="13" max="13" width="18.5703125" style="392" bestFit="1" customWidth="1"/>
    <col min="14" max="14" width="10.42578125" style="409" bestFit="1" customWidth="1"/>
    <col min="15" max="15" width="13.140625" bestFit="1" customWidth="1"/>
    <col min="16" max="16" width="14.42578125" customWidth="1"/>
    <col min="17" max="17" width="14.5703125" bestFit="1" customWidth="1"/>
  </cols>
  <sheetData>
    <row r="1" spans="1:16" ht="12.75">
      <c r="A1" s="336" t="s">
        <v>171</v>
      </c>
      <c r="B1" s="337"/>
      <c r="C1" s="338"/>
      <c r="D1" s="339"/>
      <c r="E1" s="342"/>
      <c r="F1" s="374"/>
      <c r="G1" s="374"/>
      <c r="H1" s="375"/>
      <c r="I1" s="375"/>
      <c r="J1" s="376"/>
      <c r="K1" s="375"/>
      <c r="L1" s="374"/>
      <c r="M1" s="375"/>
      <c r="N1" s="402"/>
    </row>
    <row r="2" spans="1:16" ht="12.75">
      <c r="A2" s="326" t="s">
        <v>34</v>
      </c>
      <c r="B2" s="327" t="s">
        <v>39</v>
      </c>
      <c r="C2" s="198" t="s">
        <v>32</v>
      </c>
      <c r="D2" s="328" t="s">
        <v>51</v>
      </c>
      <c r="E2" s="328" t="s">
        <v>47</v>
      </c>
      <c r="F2" s="377" t="s">
        <v>92</v>
      </c>
      <c r="G2" s="377" t="s">
        <v>93</v>
      </c>
      <c r="H2" s="378" t="s">
        <v>104</v>
      </c>
      <c r="I2" s="378" t="s">
        <v>94</v>
      </c>
      <c r="J2" s="379" t="s">
        <v>95</v>
      </c>
      <c r="K2" s="378"/>
      <c r="L2" s="377" t="s">
        <v>96</v>
      </c>
      <c r="M2" s="380" t="s">
        <v>97</v>
      </c>
      <c r="N2" s="403" t="s">
        <v>23</v>
      </c>
    </row>
    <row r="3" spans="1:16" ht="12.75">
      <c r="A3" s="326" t="s">
        <v>50</v>
      </c>
      <c r="B3" s="329"/>
      <c r="C3" s="198"/>
      <c r="D3" s="328"/>
      <c r="E3" s="328"/>
      <c r="F3" s="377" t="s">
        <v>57</v>
      </c>
      <c r="G3" s="377" t="s">
        <v>57</v>
      </c>
      <c r="H3" s="378" t="s">
        <v>9</v>
      </c>
      <c r="I3" s="378" t="s">
        <v>18</v>
      </c>
      <c r="J3" s="379" t="s">
        <v>57</v>
      </c>
      <c r="K3" s="378" t="s">
        <v>18</v>
      </c>
      <c r="L3" s="377" t="s">
        <v>57</v>
      </c>
      <c r="M3" s="380" t="s">
        <v>98</v>
      </c>
      <c r="N3" s="403" t="s">
        <v>5</v>
      </c>
    </row>
    <row r="4" spans="1:16" ht="13.5" thickBot="1">
      <c r="A4" s="330" t="s">
        <v>17</v>
      </c>
      <c r="B4" s="331"/>
      <c r="C4" s="332"/>
      <c r="D4" s="333"/>
      <c r="E4" s="333"/>
      <c r="F4" s="381"/>
      <c r="G4" s="381"/>
      <c r="H4" s="382"/>
      <c r="I4" s="382"/>
      <c r="J4" s="383"/>
      <c r="K4" s="382"/>
      <c r="L4" s="381"/>
      <c r="M4" s="381"/>
      <c r="N4" s="404" t="s">
        <v>9</v>
      </c>
    </row>
    <row r="5" spans="1:16" s="1" customFormat="1">
      <c r="A5" s="369" t="s">
        <v>174</v>
      </c>
      <c r="F5" s="91"/>
      <c r="G5" s="271"/>
      <c r="H5" s="271"/>
      <c r="I5" s="271"/>
      <c r="J5" s="271"/>
      <c r="K5" s="271"/>
      <c r="L5" s="271"/>
      <c r="M5" s="271"/>
      <c r="N5" s="217"/>
    </row>
    <row r="6" spans="1:16" s="325" customFormat="1">
      <c r="A6" s="455" t="s">
        <v>173</v>
      </c>
      <c r="B6" s="1" t="s">
        <v>86</v>
      </c>
      <c r="C6" s="1" t="s">
        <v>105</v>
      </c>
      <c r="D6" s="1" t="s">
        <v>155</v>
      </c>
      <c r="E6" s="1" t="s">
        <v>103</v>
      </c>
      <c r="F6" s="91">
        <v>27000000</v>
      </c>
      <c r="G6" s="91">
        <v>27000000</v>
      </c>
      <c r="H6" s="316">
        <v>41642</v>
      </c>
      <c r="I6" s="316">
        <v>41654</v>
      </c>
      <c r="J6" s="91">
        <v>4000000</v>
      </c>
      <c r="K6" s="316">
        <v>42734</v>
      </c>
      <c r="L6" s="451"/>
      <c r="M6" s="389">
        <f>J6-L6</f>
        <v>4000000</v>
      </c>
      <c r="N6" s="406"/>
    </row>
    <row r="7" spans="1:16" s="325" customFormat="1">
      <c r="F7" s="384"/>
      <c r="G7" s="384"/>
      <c r="H7" s="271"/>
      <c r="I7" s="271"/>
      <c r="J7" s="271"/>
      <c r="K7" s="271"/>
      <c r="L7" s="271"/>
      <c r="M7" s="271"/>
      <c r="N7" s="217"/>
    </row>
    <row r="8" spans="1:16" s="325" customFormat="1">
      <c r="A8" s="369" t="s">
        <v>99</v>
      </c>
      <c r="F8" s="385"/>
      <c r="G8" s="385"/>
      <c r="H8" s="271"/>
      <c r="I8" s="271"/>
      <c r="J8" s="271"/>
      <c r="K8" s="271"/>
      <c r="L8" s="271"/>
      <c r="M8" s="271"/>
      <c r="N8" s="217"/>
    </row>
    <row r="9" spans="1:16" s="325" customFormat="1">
      <c r="A9" s="271" t="s">
        <v>175</v>
      </c>
      <c r="B9" s="1" t="s">
        <v>86</v>
      </c>
      <c r="C9" s="1" t="s">
        <v>156</v>
      </c>
      <c r="D9" s="1" t="s">
        <v>176</v>
      </c>
      <c r="E9" s="1" t="s">
        <v>83</v>
      </c>
      <c r="F9" s="91">
        <v>50000000</v>
      </c>
      <c r="G9" s="91">
        <v>50000000</v>
      </c>
      <c r="H9" s="316">
        <v>41642</v>
      </c>
      <c r="I9" s="316">
        <v>41654</v>
      </c>
      <c r="J9" s="91">
        <v>15000000</v>
      </c>
      <c r="K9" s="316">
        <v>42734</v>
      </c>
      <c r="L9" s="91">
        <v>15000000</v>
      </c>
      <c r="M9" s="389">
        <f>J9-L9</f>
        <v>0</v>
      </c>
      <c r="N9" s="406">
        <v>42545</v>
      </c>
      <c r="O9" s="588">
        <v>4539</v>
      </c>
    </row>
    <row r="10" spans="1:16" s="394" customFormat="1">
      <c r="A10" s="348" t="s">
        <v>177</v>
      </c>
      <c r="B10" s="4" t="s">
        <v>80</v>
      </c>
      <c r="C10" s="4" t="s">
        <v>169</v>
      </c>
      <c r="D10" s="4" t="s">
        <v>154</v>
      </c>
      <c r="E10" s="4" t="s">
        <v>87</v>
      </c>
      <c r="F10" s="85">
        <v>28000000</v>
      </c>
      <c r="G10" s="85">
        <v>23090308.050000012</v>
      </c>
      <c r="H10" s="390">
        <v>41642</v>
      </c>
      <c r="I10" s="390">
        <v>41654</v>
      </c>
      <c r="J10" s="85">
        <v>23090308.050000012</v>
      </c>
      <c r="K10" s="390">
        <v>42734</v>
      </c>
      <c r="L10" s="78"/>
      <c r="M10" s="401">
        <f>J10-L10</f>
        <v>23090308.050000012</v>
      </c>
      <c r="N10" s="228"/>
    </row>
    <row r="11" spans="1:16">
      <c r="A11" s="1"/>
      <c r="B11" s="1"/>
      <c r="C11" s="1"/>
      <c r="D11" s="1"/>
      <c r="E11" s="1"/>
      <c r="F11" s="91"/>
      <c r="G11" s="87"/>
      <c r="H11" s="271"/>
      <c r="I11" s="271"/>
      <c r="J11" s="271"/>
      <c r="K11" s="271"/>
      <c r="L11" s="271"/>
      <c r="M11" s="271"/>
      <c r="N11" s="217"/>
    </row>
    <row r="12" spans="1:16">
      <c r="A12" s="1"/>
      <c r="B12" s="1"/>
      <c r="C12" s="1"/>
      <c r="D12" s="1"/>
      <c r="E12" s="1"/>
      <c r="F12" s="124">
        <f>SUM(F5:F11)</f>
        <v>105000000</v>
      </c>
      <c r="G12" s="124">
        <f>SUM(G5:G11)</f>
        <v>100090308.05000001</v>
      </c>
      <c r="H12" s="271"/>
      <c r="I12" s="271"/>
      <c r="J12" s="271"/>
      <c r="K12" s="271"/>
      <c r="L12" s="124">
        <f>SUM(L5:L11)</f>
        <v>15000000</v>
      </c>
      <c r="M12" s="422">
        <f>SUM(M5:M11)</f>
        <v>27090308.050000012</v>
      </c>
      <c r="N12" s="217"/>
    </row>
    <row r="13" spans="1:16" ht="12.75" thickBot="1">
      <c r="A13" s="1"/>
      <c r="B13" s="1"/>
      <c r="C13" s="1"/>
      <c r="D13" s="1"/>
      <c r="E13" s="1"/>
      <c r="F13" s="91"/>
      <c r="G13" s="271"/>
      <c r="H13" s="271"/>
      <c r="I13" s="271"/>
      <c r="J13" s="271"/>
      <c r="K13" s="271"/>
      <c r="L13" s="271"/>
      <c r="M13" s="271"/>
      <c r="N13" s="217"/>
    </row>
    <row r="14" spans="1:16" ht="12.75">
      <c r="A14" s="336" t="s">
        <v>179</v>
      </c>
      <c r="B14" s="236"/>
      <c r="C14" s="236"/>
      <c r="D14" s="236"/>
      <c r="E14" s="236"/>
      <c r="F14" s="386"/>
      <c r="G14" s="386"/>
      <c r="H14" s="386"/>
      <c r="I14" s="386"/>
      <c r="J14" s="386"/>
      <c r="K14" s="386"/>
      <c r="L14" s="386"/>
      <c r="M14" s="386"/>
      <c r="N14" s="405"/>
    </row>
    <row r="15" spans="1:16" ht="12.75">
      <c r="A15" s="326" t="s">
        <v>34</v>
      </c>
      <c r="B15" s="327" t="s">
        <v>39</v>
      </c>
      <c r="C15" s="198" t="s">
        <v>32</v>
      </c>
      <c r="D15" s="335" t="s">
        <v>51</v>
      </c>
      <c r="E15" s="335" t="s">
        <v>47</v>
      </c>
      <c r="F15" s="377" t="s">
        <v>92</v>
      </c>
      <c r="G15" s="377" t="s">
        <v>56</v>
      </c>
      <c r="H15" s="378"/>
      <c r="I15" s="378" t="s">
        <v>36</v>
      </c>
      <c r="J15" s="379" t="s">
        <v>95</v>
      </c>
      <c r="K15" s="378"/>
      <c r="L15" s="377" t="s">
        <v>100</v>
      </c>
      <c r="M15" s="380" t="s">
        <v>97</v>
      </c>
      <c r="N15" s="403" t="s">
        <v>23</v>
      </c>
    </row>
    <row r="16" spans="1:16" ht="12.75">
      <c r="A16" s="326" t="s">
        <v>50</v>
      </c>
      <c r="B16" s="329"/>
      <c r="C16" s="198"/>
      <c r="D16" s="335"/>
      <c r="E16" s="335"/>
      <c r="F16" s="377" t="s">
        <v>57</v>
      </c>
      <c r="G16" s="377" t="s">
        <v>57</v>
      </c>
      <c r="H16" s="378" t="s">
        <v>9</v>
      </c>
      <c r="I16" s="378" t="s">
        <v>18</v>
      </c>
      <c r="J16" s="379" t="s">
        <v>57</v>
      </c>
      <c r="K16" s="378" t="s">
        <v>18</v>
      </c>
      <c r="L16" s="377" t="s">
        <v>57</v>
      </c>
      <c r="M16" s="380" t="s">
        <v>98</v>
      </c>
      <c r="N16" s="403" t="s">
        <v>5</v>
      </c>
      <c r="P16" s="427"/>
    </row>
    <row r="17" spans="1:17" ht="13.5" thickBot="1">
      <c r="A17" s="330" t="s">
        <v>17</v>
      </c>
      <c r="B17" s="331"/>
      <c r="C17" s="332"/>
      <c r="D17" s="334"/>
      <c r="E17" s="334"/>
      <c r="F17" s="381"/>
      <c r="G17" s="381"/>
      <c r="H17" s="382"/>
      <c r="I17" s="382"/>
      <c r="J17" s="387"/>
      <c r="K17" s="382"/>
      <c r="L17" s="381"/>
      <c r="M17" s="388" t="s">
        <v>101</v>
      </c>
      <c r="N17" s="404" t="s">
        <v>9</v>
      </c>
      <c r="P17" s="428"/>
    </row>
    <row r="18" spans="1:17">
      <c r="A18" s="362" t="s">
        <v>102</v>
      </c>
      <c r="B18" s="1"/>
      <c r="C18" s="1"/>
      <c r="D18" s="1"/>
      <c r="E18" s="1"/>
      <c r="F18" s="389"/>
      <c r="G18" s="271"/>
      <c r="H18" s="271"/>
      <c r="I18" s="271"/>
      <c r="J18" s="271"/>
      <c r="K18" s="271"/>
      <c r="L18" s="271"/>
      <c r="M18" s="271"/>
      <c r="N18" s="217"/>
      <c r="Q18" s="449"/>
    </row>
    <row r="19" spans="1:17" s="1" customFormat="1">
      <c r="A19" s="398">
        <v>4294</v>
      </c>
      <c r="B19" s="1" t="s">
        <v>80</v>
      </c>
      <c r="C19" s="52" t="s">
        <v>165</v>
      </c>
      <c r="D19" s="1" t="s">
        <v>102</v>
      </c>
      <c r="E19" s="1" t="s">
        <v>166</v>
      </c>
      <c r="F19" s="399">
        <v>25000000</v>
      </c>
      <c r="G19" s="399">
        <v>25000000</v>
      </c>
      <c r="H19" s="3">
        <v>41503</v>
      </c>
      <c r="I19" s="3">
        <f>H19+35</f>
        <v>41538</v>
      </c>
      <c r="J19" s="399">
        <v>25000000</v>
      </c>
      <c r="K19" s="340">
        <v>42734</v>
      </c>
      <c r="L19" s="366"/>
      <c r="M19" s="410">
        <f>J19-L19</f>
        <v>25000000</v>
      </c>
      <c r="N19" s="407"/>
      <c r="Q19" s="397"/>
    </row>
    <row r="20" spans="1:17" s="4" customFormat="1">
      <c r="A20" s="5"/>
      <c r="C20" s="61"/>
      <c r="D20" s="61"/>
      <c r="E20" s="61"/>
      <c r="F20" s="120"/>
      <c r="G20" s="106"/>
      <c r="H20" s="8"/>
      <c r="I20" s="8"/>
      <c r="J20" s="106"/>
      <c r="K20" s="8"/>
      <c r="L20" s="360"/>
      <c r="M20" s="410"/>
      <c r="N20" s="228"/>
    </row>
    <row r="21" spans="1:17" ht="12.75" thickBot="1">
      <c r="A21" s="1"/>
      <c r="B21" s="1"/>
      <c r="C21" s="1"/>
      <c r="D21" s="1"/>
      <c r="E21" s="1"/>
      <c r="F21" s="389"/>
      <c r="G21" s="271"/>
      <c r="H21" s="271"/>
      <c r="I21" s="271"/>
      <c r="J21" s="393">
        <f>SUM(J19:J19)</f>
        <v>25000000</v>
      </c>
      <c r="K21" s="78"/>
      <c r="L21" s="393">
        <f>SUM(L19:L19)</f>
        <v>0</v>
      </c>
      <c r="M21" s="393">
        <f>SUM(M19:M19)</f>
        <v>25000000</v>
      </c>
      <c r="N21" s="217"/>
    </row>
    <row r="22" spans="1:17">
      <c r="A22" s="341" t="s">
        <v>16</v>
      </c>
      <c r="B22" s="1"/>
      <c r="C22" s="1"/>
      <c r="D22" s="1"/>
      <c r="E22" s="1"/>
      <c r="F22" s="389"/>
      <c r="G22" s="271"/>
      <c r="H22" s="271"/>
      <c r="I22" s="271"/>
      <c r="J22" s="271"/>
      <c r="K22" s="271"/>
      <c r="L22" s="271"/>
      <c r="M22" s="271"/>
      <c r="N22" s="217"/>
    </row>
    <row r="23" spans="1:17" s="1" customFormat="1">
      <c r="A23" s="17">
        <v>4310</v>
      </c>
      <c r="B23" s="1" t="s">
        <v>80</v>
      </c>
      <c r="C23" s="52" t="s">
        <v>170</v>
      </c>
      <c r="D23" s="1" t="s">
        <v>168</v>
      </c>
      <c r="E23" s="1" t="s">
        <v>152</v>
      </c>
      <c r="F23" s="399">
        <v>50000000</v>
      </c>
      <c r="G23" s="399">
        <v>50000000</v>
      </c>
      <c r="H23" s="3">
        <v>41529</v>
      </c>
      <c r="I23" s="3">
        <f>H23+35</f>
        <v>41564</v>
      </c>
      <c r="J23" s="366">
        <v>30032428.350000001</v>
      </c>
      <c r="K23" s="340">
        <v>42734</v>
      </c>
      <c r="L23" s="366">
        <v>30032428.350000001</v>
      </c>
      <c r="M23" s="366">
        <f>J23-L23</f>
        <v>0</v>
      </c>
      <c r="N23" s="406"/>
    </row>
    <row r="24" spans="1:17" s="1" customFormat="1">
      <c r="A24" s="17">
        <v>4326</v>
      </c>
      <c r="B24" s="1" t="s">
        <v>80</v>
      </c>
      <c r="C24" s="52" t="s">
        <v>90</v>
      </c>
      <c r="D24" s="1" t="s">
        <v>363</v>
      </c>
      <c r="E24" s="1" t="s">
        <v>178</v>
      </c>
      <c r="F24" s="399">
        <v>49749350</v>
      </c>
      <c r="G24" s="107">
        <v>29914747.870000124</v>
      </c>
      <c r="H24" s="3">
        <v>41592</v>
      </c>
      <c r="I24" s="3">
        <f>H24+35</f>
        <v>41627</v>
      </c>
      <c r="J24" s="107">
        <v>29914747.870000124</v>
      </c>
      <c r="K24" s="340">
        <v>42734</v>
      </c>
      <c r="L24" s="366"/>
      <c r="M24" s="366">
        <f>J24-L24</f>
        <v>29914747.870000124</v>
      </c>
      <c r="N24" s="406"/>
    </row>
    <row r="25" spans="1:17">
      <c r="A25" s="1"/>
      <c r="B25" s="1"/>
      <c r="C25" s="1"/>
      <c r="D25" s="1"/>
      <c r="E25" s="1"/>
      <c r="F25" s="389"/>
      <c r="G25" s="271"/>
      <c r="H25" s="271"/>
      <c r="I25" s="271"/>
      <c r="J25" s="271"/>
      <c r="K25" s="271"/>
      <c r="L25" s="271"/>
      <c r="M25" s="271"/>
      <c r="N25" s="217"/>
    </row>
    <row r="26" spans="1:17">
      <c r="A26" s="1"/>
      <c r="B26" s="1"/>
      <c r="C26" s="1"/>
      <c r="D26" s="1"/>
      <c r="E26" s="1"/>
      <c r="F26" s="389"/>
      <c r="G26" s="271"/>
      <c r="H26" s="271"/>
      <c r="I26" s="271"/>
      <c r="J26" s="393">
        <f>SUM(J23:J25)</f>
        <v>59947176.220000125</v>
      </c>
      <c r="K26" s="78"/>
      <c r="L26" s="393">
        <f>SUM(L23:L25)</f>
        <v>30032428.350000001</v>
      </c>
      <c r="M26" s="393">
        <f>SUM(M23:M25)</f>
        <v>29914747.870000124</v>
      </c>
      <c r="N26" s="217"/>
    </row>
    <row r="27" spans="1:17">
      <c r="A27" s="1"/>
      <c r="B27" s="1"/>
      <c r="C27" s="1"/>
      <c r="D27" s="1"/>
      <c r="E27" s="1"/>
      <c r="F27" s="389"/>
      <c r="G27" s="316"/>
      <c r="H27" s="271"/>
      <c r="I27" s="271"/>
      <c r="J27" s="271"/>
      <c r="K27" s="271"/>
      <c r="L27" s="271"/>
      <c r="M27" s="271"/>
      <c r="N27" s="217"/>
    </row>
    <row r="28" spans="1:17">
      <c r="A28" s="1"/>
      <c r="B28" s="1"/>
      <c r="C28" s="1"/>
      <c r="D28" s="1"/>
      <c r="E28" s="1"/>
      <c r="F28" s="389"/>
      <c r="G28" s="115"/>
      <c r="H28" s="316"/>
      <c r="I28" s="271"/>
      <c r="J28" s="271"/>
      <c r="K28" s="271"/>
      <c r="L28" s="271"/>
      <c r="M28" s="271"/>
      <c r="N28" s="217"/>
    </row>
    <row r="29" spans="1:17">
      <c r="A29" s="1"/>
      <c r="B29" s="1"/>
      <c r="C29" s="1"/>
      <c r="D29" s="1"/>
      <c r="E29" s="1"/>
      <c r="F29" s="389"/>
      <c r="G29" s="271"/>
      <c r="H29" s="271"/>
      <c r="I29" s="271"/>
      <c r="J29" s="271"/>
      <c r="K29" s="271"/>
      <c r="L29" s="271"/>
      <c r="M29" s="271"/>
      <c r="N29" s="217"/>
    </row>
    <row r="30" spans="1:17">
      <c r="A30" s="1"/>
      <c r="B30" s="1"/>
      <c r="C30" s="1"/>
      <c r="D30" s="1"/>
      <c r="E30" s="1"/>
      <c r="F30" s="389"/>
      <c r="G30" s="271"/>
      <c r="H30" s="271"/>
      <c r="I30" s="271"/>
      <c r="J30" s="271"/>
      <c r="K30" s="271"/>
      <c r="L30" s="271"/>
      <c r="M30" s="271"/>
      <c r="N30" s="217"/>
    </row>
    <row r="31" spans="1:17">
      <c r="A31" s="1"/>
      <c r="B31" s="1"/>
      <c r="C31" s="1"/>
      <c r="D31" s="1"/>
      <c r="E31" s="1"/>
      <c r="F31" s="389"/>
      <c r="G31" s="271"/>
      <c r="H31" s="271"/>
      <c r="I31" s="271"/>
      <c r="J31" s="271"/>
      <c r="K31" s="271"/>
      <c r="L31" s="271"/>
      <c r="M31" s="271"/>
      <c r="N31" s="217"/>
    </row>
    <row r="32" spans="1:17">
      <c r="A32" s="1"/>
      <c r="B32" s="1"/>
      <c r="C32" s="1"/>
      <c r="D32" s="1"/>
      <c r="E32" s="1"/>
      <c r="F32" s="389"/>
      <c r="G32" s="271"/>
      <c r="H32" s="271"/>
      <c r="I32" s="271"/>
      <c r="J32" s="87">
        <f>SUM(G12+J21+J26)</f>
        <v>185037484.27000013</v>
      </c>
      <c r="K32" s="271"/>
      <c r="L32" s="271"/>
      <c r="M32" s="393">
        <f>M26+M21+M12</f>
        <v>82005055.920000136</v>
      </c>
      <c r="N32" s="217"/>
    </row>
    <row r="33" spans="1:14">
      <c r="A33" s="1"/>
      <c r="B33" s="1"/>
      <c r="C33" s="1"/>
      <c r="D33" s="1"/>
      <c r="E33" s="1"/>
      <c r="F33" s="389"/>
      <c r="G33" s="271"/>
      <c r="H33" s="271"/>
      <c r="I33" s="271"/>
      <c r="J33" s="271"/>
      <c r="K33" s="271"/>
      <c r="L33" s="271"/>
      <c r="M33" s="271"/>
      <c r="N33" s="217"/>
    </row>
    <row r="34" spans="1:14">
      <c r="A34" s="1"/>
      <c r="B34" s="1"/>
      <c r="C34" s="1"/>
      <c r="D34" s="1"/>
      <c r="E34" s="1"/>
      <c r="F34" s="389"/>
      <c r="G34" s="271"/>
      <c r="H34" s="271"/>
      <c r="I34" s="271"/>
      <c r="J34" s="271"/>
      <c r="K34" s="271"/>
      <c r="L34" s="271"/>
      <c r="M34" s="271"/>
      <c r="N34" s="217"/>
    </row>
    <row r="35" spans="1:14">
      <c r="A35" s="1"/>
      <c r="B35" s="1"/>
      <c r="C35" s="1"/>
      <c r="D35" s="1"/>
      <c r="E35" s="1"/>
      <c r="F35" s="389"/>
      <c r="G35" s="271"/>
      <c r="H35" s="271"/>
      <c r="I35" s="271"/>
      <c r="J35" s="271"/>
      <c r="K35" s="271"/>
      <c r="L35" s="271"/>
      <c r="M35" s="271"/>
      <c r="N35" s="217"/>
    </row>
    <row r="36" spans="1:14">
      <c r="A36" s="1"/>
      <c r="B36" s="1"/>
      <c r="C36" s="1"/>
      <c r="D36" s="1"/>
      <c r="E36" s="1"/>
      <c r="F36" s="389"/>
      <c r="G36" s="271"/>
      <c r="H36" s="271"/>
      <c r="I36" s="271"/>
      <c r="J36" s="271"/>
      <c r="K36" s="271"/>
      <c r="L36" s="271"/>
      <c r="M36" s="271"/>
      <c r="N36" s="217"/>
    </row>
    <row r="37" spans="1:14">
      <c r="A37" s="1"/>
      <c r="B37" s="1"/>
      <c r="C37" s="1"/>
      <c r="D37" s="1"/>
      <c r="E37" s="1"/>
      <c r="F37" s="389"/>
      <c r="G37" s="271"/>
      <c r="H37" s="271"/>
      <c r="I37" s="271"/>
      <c r="J37" s="271"/>
      <c r="K37" s="271"/>
      <c r="L37" s="271"/>
      <c r="M37" s="271"/>
      <c r="N37" s="217"/>
    </row>
    <row r="38" spans="1:14">
      <c r="A38" s="1"/>
      <c r="B38" s="1"/>
      <c r="C38" s="1"/>
      <c r="D38" s="1"/>
      <c r="E38" s="1"/>
      <c r="F38" s="389"/>
      <c r="G38" s="271"/>
      <c r="H38" s="271"/>
      <c r="I38" s="271"/>
      <c r="J38" s="271"/>
      <c r="K38" s="271"/>
      <c r="L38" s="271"/>
      <c r="M38" s="271"/>
      <c r="N38" s="217"/>
    </row>
    <row r="39" spans="1:14">
      <c r="A39" s="1"/>
      <c r="B39" s="1"/>
      <c r="C39" s="1"/>
      <c r="D39" s="1"/>
      <c r="E39" s="1"/>
      <c r="F39" s="389"/>
      <c r="G39" s="271"/>
      <c r="H39" s="271"/>
      <c r="I39" s="271"/>
      <c r="J39" s="271"/>
      <c r="K39" s="271"/>
      <c r="L39" s="271"/>
      <c r="M39" s="271"/>
      <c r="N39" s="217"/>
    </row>
    <row r="40" spans="1:14">
      <c r="A40" s="1"/>
      <c r="B40" s="1"/>
      <c r="C40" s="1"/>
      <c r="D40" s="1"/>
      <c r="E40" s="1"/>
      <c r="F40" s="389"/>
      <c r="G40" s="271"/>
      <c r="H40" s="271"/>
      <c r="I40" s="271"/>
      <c r="J40" s="271"/>
      <c r="K40" s="271"/>
      <c r="L40" s="271"/>
      <c r="M40" s="271"/>
      <c r="N40" s="217"/>
    </row>
    <row r="41" spans="1:14">
      <c r="A41" s="1"/>
      <c r="B41" s="1"/>
      <c r="C41" s="1"/>
      <c r="D41" s="1"/>
      <c r="E41" s="1"/>
      <c r="F41" s="389"/>
      <c r="G41" s="271"/>
      <c r="H41" s="271"/>
      <c r="I41" s="271"/>
      <c r="J41" s="271"/>
      <c r="K41" s="271"/>
      <c r="L41" s="271"/>
      <c r="M41" s="271"/>
      <c r="N41" s="217"/>
    </row>
    <row r="42" spans="1:14">
      <c r="A42" s="1"/>
      <c r="B42" s="1"/>
      <c r="C42" s="1"/>
      <c r="D42" s="1"/>
      <c r="E42" s="1"/>
      <c r="F42" s="389"/>
      <c r="G42" s="271"/>
      <c r="H42" s="271"/>
      <c r="I42" s="271"/>
      <c r="J42" s="271"/>
      <c r="K42" s="271"/>
      <c r="L42" s="271"/>
      <c r="M42" s="271"/>
      <c r="N42" s="217"/>
    </row>
    <row r="43" spans="1:14">
      <c r="A43" s="1"/>
      <c r="B43" s="1"/>
      <c r="C43" s="1"/>
      <c r="D43" s="1"/>
      <c r="E43" s="1"/>
      <c r="F43" s="389"/>
      <c r="G43" s="271"/>
      <c r="H43" s="271"/>
      <c r="I43" s="271"/>
      <c r="J43" s="271"/>
      <c r="K43" s="271"/>
      <c r="L43" s="271"/>
      <c r="M43" s="271"/>
      <c r="N43" s="217"/>
    </row>
    <row r="44" spans="1:14">
      <c r="A44" s="1"/>
      <c r="B44" s="1"/>
      <c r="C44" s="1"/>
      <c r="D44" s="1"/>
      <c r="E44" s="1"/>
      <c r="F44" s="389"/>
      <c r="G44" s="271"/>
      <c r="H44" s="271"/>
      <c r="I44" s="271"/>
      <c r="J44" s="271"/>
      <c r="K44" s="271"/>
      <c r="L44" s="271"/>
      <c r="M44" s="271"/>
      <c r="N44" s="217"/>
    </row>
    <row r="45" spans="1:14">
      <c r="A45" s="1"/>
      <c r="B45" s="1"/>
      <c r="C45" s="1"/>
      <c r="D45" s="1"/>
      <c r="E45" s="1"/>
      <c r="F45" s="389"/>
      <c r="G45" s="271"/>
      <c r="H45" s="271"/>
      <c r="I45" s="271"/>
      <c r="J45" s="271"/>
      <c r="K45" s="271"/>
      <c r="L45" s="271"/>
      <c r="M45" s="271"/>
      <c r="N45" s="217"/>
    </row>
    <row r="46" spans="1:14">
      <c r="A46" s="1"/>
      <c r="B46" s="1"/>
      <c r="C46" s="1"/>
      <c r="D46" s="1"/>
      <c r="E46" s="1"/>
      <c r="F46" s="389"/>
      <c r="G46" s="271"/>
      <c r="H46" s="271"/>
      <c r="I46" s="271"/>
      <c r="J46" s="271"/>
      <c r="K46" s="271"/>
      <c r="L46" s="271"/>
      <c r="M46" s="271"/>
      <c r="N46" s="217"/>
    </row>
    <row r="47" spans="1:14">
      <c r="A47" s="1"/>
      <c r="B47" s="1"/>
      <c r="C47" s="1"/>
      <c r="D47" s="1"/>
      <c r="E47" s="1"/>
      <c r="F47" s="389"/>
      <c r="G47" s="271"/>
      <c r="H47" s="271"/>
      <c r="I47" s="271"/>
      <c r="J47" s="271"/>
      <c r="K47" s="271"/>
      <c r="L47" s="271"/>
      <c r="M47" s="271"/>
      <c r="N47" s="217"/>
    </row>
    <row r="48" spans="1:14">
      <c r="A48" s="1"/>
      <c r="B48" s="1"/>
      <c r="C48" s="1"/>
      <c r="D48" s="1"/>
      <c r="E48" s="1"/>
      <c r="F48" s="389"/>
      <c r="G48" s="271"/>
      <c r="H48" s="271"/>
      <c r="I48" s="271"/>
      <c r="J48" s="271"/>
      <c r="K48" s="271"/>
      <c r="L48" s="271"/>
      <c r="M48" s="271"/>
      <c r="N48" s="217"/>
    </row>
    <row r="49" spans="1:14">
      <c r="A49" s="1"/>
      <c r="B49" s="1"/>
      <c r="C49" s="1"/>
      <c r="D49" s="1"/>
      <c r="E49" s="1"/>
      <c r="F49" s="389"/>
      <c r="G49" s="271"/>
      <c r="H49" s="271"/>
      <c r="I49" s="271"/>
      <c r="J49" s="271"/>
      <c r="K49" s="271"/>
      <c r="L49" s="271"/>
      <c r="M49" s="271"/>
      <c r="N49" s="217"/>
    </row>
    <row r="50" spans="1:14">
      <c r="A50" s="1"/>
      <c r="B50" s="1"/>
      <c r="C50" s="1"/>
      <c r="D50" s="1"/>
      <c r="E50" s="1"/>
      <c r="F50" s="389"/>
      <c r="G50" s="271"/>
      <c r="H50" s="271"/>
      <c r="I50" s="271"/>
      <c r="J50" s="271"/>
      <c r="K50" s="271"/>
      <c r="L50" s="271"/>
      <c r="M50" s="271"/>
      <c r="N50" s="217"/>
    </row>
    <row r="51" spans="1:14">
      <c r="A51" s="1"/>
      <c r="B51" s="1"/>
      <c r="C51" s="1"/>
      <c r="D51" s="1"/>
      <c r="E51" s="1"/>
      <c r="F51" s="389"/>
      <c r="G51" s="271"/>
      <c r="H51" s="271"/>
      <c r="I51" s="271"/>
      <c r="J51" s="271"/>
      <c r="K51" s="271"/>
      <c r="L51" s="271"/>
      <c r="M51" s="271"/>
      <c r="N51" s="217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60"/>
  <sheetViews>
    <sheetView workbookViewId="0">
      <selection activeCell="L32" sqref="L32"/>
    </sheetView>
  </sheetViews>
  <sheetFormatPr defaultRowHeight="12"/>
  <cols>
    <col min="1" max="1" width="9.5703125" customWidth="1"/>
    <col min="2" max="2" width="12.140625" bestFit="1" customWidth="1"/>
    <col min="3" max="3" width="46.42578125" bestFit="1" customWidth="1"/>
    <col min="4" max="4" width="26.42578125" customWidth="1"/>
    <col min="5" max="5" width="12.140625" bestFit="1" customWidth="1"/>
    <col min="6" max="6" width="16.42578125" style="391" bestFit="1" customWidth="1"/>
    <col min="7" max="7" width="14.42578125" style="392" bestFit="1" customWidth="1"/>
    <col min="8" max="8" width="18.140625" style="392" bestFit="1" customWidth="1"/>
    <col min="9" max="9" width="11.5703125" style="392" bestFit="1" customWidth="1"/>
    <col min="10" max="10" width="14.7109375" style="392" bestFit="1" customWidth="1"/>
    <col min="11" max="11" width="11.5703125" style="392" bestFit="1" customWidth="1"/>
    <col min="12" max="12" width="17" style="392" bestFit="1" customWidth="1"/>
    <col min="13" max="13" width="21.5703125" style="392" bestFit="1" customWidth="1"/>
    <col min="14" max="14" width="17" style="409" customWidth="1"/>
    <col min="15" max="15" width="16.42578125" bestFit="1" customWidth="1"/>
    <col min="16" max="16" width="10.7109375" bestFit="1" customWidth="1"/>
  </cols>
  <sheetData>
    <row r="1" spans="1:15" ht="12.75">
      <c r="A1" s="336" t="s">
        <v>186</v>
      </c>
      <c r="B1" s="600"/>
      <c r="C1" s="338"/>
      <c r="D1" s="339"/>
      <c r="E1" s="342"/>
      <c r="F1" s="374"/>
      <c r="G1" s="374"/>
      <c r="H1" s="375"/>
      <c r="I1" s="375"/>
      <c r="J1" s="376"/>
      <c r="K1" s="375"/>
      <c r="L1" s="374"/>
      <c r="M1" s="375"/>
      <c r="N1" s="402"/>
    </row>
    <row r="2" spans="1:15" ht="12.75">
      <c r="A2" s="326" t="s">
        <v>34</v>
      </c>
      <c r="B2" s="327" t="s">
        <v>39</v>
      </c>
      <c r="C2" s="198" t="s">
        <v>32</v>
      </c>
      <c r="D2" s="328" t="s">
        <v>51</v>
      </c>
      <c r="E2" s="328" t="s">
        <v>47</v>
      </c>
      <c r="F2" s="377" t="s">
        <v>92</v>
      </c>
      <c r="G2" s="377" t="s">
        <v>93</v>
      </c>
      <c r="H2" s="378" t="s">
        <v>104</v>
      </c>
      <c r="I2" s="378" t="s">
        <v>94</v>
      </c>
      <c r="J2" s="379" t="s">
        <v>95</v>
      </c>
      <c r="K2" s="378"/>
      <c r="L2" s="377" t="s">
        <v>96</v>
      </c>
      <c r="M2" s="380" t="s">
        <v>97</v>
      </c>
      <c r="N2" s="403" t="s">
        <v>23</v>
      </c>
    </row>
    <row r="3" spans="1:15" ht="12.75">
      <c r="A3" s="326" t="s">
        <v>50</v>
      </c>
      <c r="B3" s="329"/>
      <c r="C3" s="198"/>
      <c r="D3" s="328"/>
      <c r="E3" s="328"/>
      <c r="F3" s="377" t="s">
        <v>57</v>
      </c>
      <c r="G3" s="377" t="s">
        <v>57</v>
      </c>
      <c r="H3" s="378" t="s">
        <v>9</v>
      </c>
      <c r="I3" s="378" t="s">
        <v>18</v>
      </c>
      <c r="J3" s="379" t="s">
        <v>57</v>
      </c>
      <c r="K3" s="378" t="s">
        <v>18</v>
      </c>
      <c r="L3" s="377" t="s">
        <v>57</v>
      </c>
      <c r="M3" s="380" t="s">
        <v>98</v>
      </c>
      <c r="N3" s="403" t="s">
        <v>5</v>
      </c>
    </row>
    <row r="4" spans="1:15" ht="13.5" thickBot="1">
      <c r="A4" s="330" t="s">
        <v>17</v>
      </c>
      <c r="B4" s="331"/>
      <c r="C4" s="332"/>
      <c r="D4" s="333"/>
      <c r="E4" s="333"/>
      <c r="F4" s="381"/>
      <c r="G4" s="381"/>
      <c r="H4" s="382"/>
      <c r="I4" s="382"/>
      <c r="J4" s="383"/>
      <c r="K4" s="382"/>
      <c r="L4" s="381"/>
      <c r="M4" s="381"/>
      <c r="N4" s="404" t="s">
        <v>9</v>
      </c>
    </row>
    <row r="5" spans="1:15" s="325" customFormat="1">
      <c r="F5" s="384"/>
      <c r="G5" s="384"/>
      <c r="H5" s="271"/>
      <c r="I5" s="271"/>
      <c r="J5" s="271"/>
      <c r="K5" s="271"/>
      <c r="L5" s="271"/>
      <c r="M5" s="271"/>
      <c r="N5" s="217"/>
    </row>
    <row r="6" spans="1:15" s="325" customFormat="1">
      <c r="A6" s="369" t="s">
        <v>99</v>
      </c>
      <c r="F6" s="385"/>
      <c r="G6" s="385"/>
      <c r="H6" s="271"/>
      <c r="I6" s="271"/>
      <c r="J6" s="271"/>
      <c r="K6" s="271"/>
      <c r="L6" s="271"/>
      <c r="M6" s="271"/>
      <c r="N6" s="217"/>
    </row>
    <row r="7" spans="1:15" s="325" customFormat="1">
      <c r="A7" s="271" t="s">
        <v>187</v>
      </c>
      <c r="B7" s="1" t="s">
        <v>86</v>
      </c>
      <c r="C7" s="1" t="s">
        <v>158</v>
      </c>
      <c r="D7" s="1" t="s">
        <v>188</v>
      </c>
      <c r="E7" s="1" t="s">
        <v>85</v>
      </c>
      <c r="F7" s="91">
        <v>41000000</v>
      </c>
      <c r="G7" s="91">
        <v>41000000</v>
      </c>
      <c r="H7" s="316">
        <v>42007</v>
      </c>
      <c r="I7" s="316">
        <v>42019</v>
      </c>
      <c r="J7" s="91">
        <v>6500000</v>
      </c>
      <c r="K7" s="316">
        <v>43099</v>
      </c>
      <c r="L7" s="451">
        <v>6500000</v>
      </c>
      <c r="M7" s="389">
        <f>J7-L7</f>
        <v>0</v>
      </c>
      <c r="N7" s="406">
        <v>42542</v>
      </c>
      <c r="O7" s="325">
        <v>4560</v>
      </c>
    </row>
    <row r="8" spans="1:15" s="394" customFormat="1">
      <c r="A8" s="78" t="s">
        <v>190</v>
      </c>
      <c r="B8" s="4" t="s">
        <v>80</v>
      </c>
      <c r="C8" s="4" t="s">
        <v>106</v>
      </c>
      <c r="D8" s="4" t="s">
        <v>191</v>
      </c>
      <c r="E8" s="4" t="s">
        <v>83</v>
      </c>
      <c r="F8" s="85">
        <v>35000000</v>
      </c>
      <c r="G8" s="85">
        <v>35000000</v>
      </c>
      <c r="H8" s="390">
        <v>42007</v>
      </c>
      <c r="I8" s="390">
        <v>42019</v>
      </c>
      <c r="J8" s="85">
        <v>35000000</v>
      </c>
      <c r="K8" s="390">
        <v>43099</v>
      </c>
      <c r="L8" s="92">
        <v>0</v>
      </c>
      <c r="M8" s="401">
        <f>J8-L8</f>
        <v>35000000</v>
      </c>
      <c r="N8" s="228"/>
    </row>
    <row r="9" spans="1:15" s="325" customFormat="1">
      <c r="A9" s="271" t="s">
        <v>193</v>
      </c>
      <c r="B9" s="1" t="s">
        <v>86</v>
      </c>
      <c r="C9" s="1" t="s">
        <v>150</v>
      </c>
      <c r="D9" s="1" t="s">
        <v>194</v>
      </c>
      <c r="E9" s="1" t="s">
        <v>91</v>
      </c>
      <c r="F9" s="91">
        <v>50000000</v>
      </c>
      <c r="G9" s="91">
        <v>50000000</v>
      </c>
      <c r="H9" s="316">
        <v>42007</v>
      </c>
      <c r="I9" s="316">
        <v>42019</v>
      </c>
      <c r="J9" s="389">
        <v>5115000</v>
      </c>
      <c r="K9" s="316">
        <v>43099</v>
      </c>
      <c r="L9" s="92">
        <v>5115000</v>
      </c>
      <c r="M9" s="389">
        <f>J9-L9</f>
        <v>0</v>
      </c>
      <c r="N9" s="406">
        <v>42530</v>
      </c>
      <c r="O9" s="325">
        <v>4583</v>
      </c>
    </row>
    <row r="10" spans="1:15" s="394" customFormat="1">
      <c r="A10" s="78" t="s">
        <v>195</v>
      </c>
      <c r="B10" s="4" t="s">
        <v>80</v>
      </c>
      <c r="C10" s="4" t="s">
        <v>150</v>
      </c>
      <c r="D10" s="4" t="s">
        <v>197</v>
      </c>
      <c r="E10" s="4" t="s">
        <v>180</v>
      </c>
      <c r="F10" s="85">
        <v>45000000</v>
      </c>
      <c r="G10" s="85">
        <v>45000000</v>
      </c>
      <c r="H10" s="390">
        <v>42007</v>
      </c>
      <c r="I10" s="390">
        <v>42019</v>
      </c>
      <c r="J10" s="85">
        <v>45000000</v>
      </c>
      <c r="K10" s="390">
        <v>43099</v>
      </c>
      <c r="L10" s="92">
        <v>0</v>
      </c>
      <c r="M10" s="401">
        <f>J10-L10</f>
        <v>45000000</v>
      </c>
      <c r="N10" s="228"/>
    </row>
    <row r="11" spans="1:15" s="394" customFormat="1">
      <c r="A11" s="78" t="s">
        <v>196</v>
      </c>
      <c r="B11" s="4" t="s">
        <v>80</v>
      </c>
      <c r="C11" s="4" t="s">
        <v>150</v>
      </c>
      <c r="D11" s="4" t="s">
        <v>198</v>
      </c>
      <c r="E11" s="4" t="s">
        <v>199</v>
      </c>
      <c r="F11" s="85">
        <v>50000000</v>
      </c>
      <c r="G11" s="85">
        <v>50000000</v>
      </c>
      <c r="H11" s="390">
        <v>42007</v>
      </c>
      <c r="I11" s="390">
        <v>42019</v>
      </c>
      <c r="J11" s="85">
        <v>50000000</v>
      </c>
      <c r="K11" s="390">
        <v>43099</v>
      </c>
      <c r="L11" s="92">
        <v>0</v>
      </c>
      <c r="M11" s="401">
        <f>J11-L11</f>
        <v>50000000</v>
      </c>
      <c r="N11" s="228"/>
    </row>
    <row r="12" spans="1:15" s="394" customFormat="1">
      <c r="A12" s="348"/>
      <c r="B12" s="4"/>
      <c r="C12" s="4"/>
      <c r="D12" s="4"/>
      <c r="E12" s="4"/>
      <c r="F12" s="85"/>
      <c r="G12" s="85"/>
      <c r="H12" s="390"/>
      <c r="I12" s="390"/>
      <c r="J12" s="85"/>
      <c r="K12" s="390"/>
      <c r="L12" s="78"/>
      <c r="M12" s="401"/>
      <c r="N12" s="228"/>
    </row>
    <row r="13" spans="1:15">
      <c r="A13" s="1"/>
      <c r="B13" s="1"/>
      <c r="C13" s="1"/>
      <c r="D13" s="1"/>
      <c r="E13" s="1"/>
      <c r="F13" s="91"/>
      <c r="G13" s="87"/>
      <c r="H13" s="271"/>
      <c r="I13" s="271"/>
      <c r="J13" s="271"/>
      <c r="K13" s="271"/>
      <c r="L13" s="271"/>
      <c r="M13" s="271"/>
      <c r="N13" s="217"/>
    </row>
    <row r="14" spans="1:15">
      <c r="A14" s="1"/>
      <c r="B14" s="1"/>
      <c r="C14" s="1"/>
      <c r="D14" s="1"/>
      <c r="E14" s="1"/>
      <c r="F14" s="124">
        <f>SUM(F5:F13)</f>
        <v>221000000</v>
      </c>
      <c r="G14" s="124"/>
      <c r="H14" s="271"/>
      <c r="I14" s="271"/>
      <c r="J14" s="124">
        <f>SUM(J5:J13)</f>
        <v>141615000</v>
      </c>
      <c r="K14" s="271"/>
      <c r="L14" s="124">
        <f>SUM(L5:L13)</f>
        <v>11615000</v>
      </c>
      <c r="M14" s="124">
        <f>SUM(M5:M13)</f>
        <v>130000000</v>
      </c>
      <c r="N14" s="217"/>
    </row>
    <row r="15" spans="1:15">
      <c r="A15" s="1"/>
      <c r="B15" s="1"/>
      <c r="C15" s="1"/>
      <c r="D15" s="1"/>
      <c r="E15" s="1"/>
      <c r="F15" s="232"/>
      <c r="G15" s="232"/>
      <c r="H15" s="271"/>
      <c r="I15" s="271"/>
      <c r="J15" s="271"/>
      <c r="K15" s="271"/>
      <c r="L15" s="232"/>
      <c r="M15" s="232"/>
      <c r="N15" s="217"/>
    </row>
    <row r="16" spans="1:15" ht="12.75" thickBot="1">
      <c r="A16" s="1"/>
      <c r="B16" s="1"/>
      <c r="C16" s="1"/>
      <c r="D16" s="1"/>
      <c r="E16" s="1"/>
      <c r="F16" s="232"/>
      <c r="G16" s="232"/>
      <c r="H16" s="271"/>
      <c r="I16" s="271"/>
      <c r="J16" s="271"/>
      <c r="K16" s="271"/>
      <c r="L16" s="232"/>
      <c r="M16" s="232"/>
      <c r="N16" s="217"/>
    </row>
    <row r="17" spans="1:20" ht="12.75">
      <c r="A17" s="336" t="s">
        <v>189</v>
      </c>
      <c r="B17" s="236"/>
      <c r="C17" s="236"/>
      <c r="D17" s="236"/>
      <c r="E17" s="236"/>
      <c r="F17" s="386"/>
      <c r="G17" s="386"/>
      <c r="H17" s="386"/>
      <c r="I17" s="386"/>
      <c r="J17" s="386"/>
      <c r="K17" s="386"/>
      <c r="L17" s="386"/>
      <c r="M17" s="386"/>
      <c r="N17" s="405"/>
    </row>
    <row r="18" spans="1:20" ht="12.75">
      <c r="A18" s="326" t="s">
        <v>34</v>
      </c>
      <c r="B18" s="327" t="s">
        <v>39</v>
      </c>
      <c r="C18" s="198" t="s">
        <v>32</v>
      </c>
      <c r="D18" s="335" t="s">
        <v>51</v>
      </c>
      <c r="E18" s="335" t="s">
        <v>47</v>
      </c>
      <c r="F18" s="377" t="s">
        <v>92</v>
      </c>
      <c r="G18" s="377" t="s">
        <v>56</v>
      </c>
      <c r="H18" s="378"/>
      <c r="I18" s="378" t="s">
        <v>36</v>
      </c>
      <c r="J18" s="379" t="s">
        <v>95</v>
      </c>
      <c r="K18" s="378"/>
      <c r="L18" s="377" t="s">
        <v>100</v>
      </c>
      <c r="M18" s="380" t="s">
        <v>97</v>
      </c>
      <c r="N18" s="403" t="s">
        <v>23</v>
      </c>
    </row>
    <row r="19" spans="1:20" ht="12.75">
      <c r="A19" s="326" t="s">
        <v>50</v>
      </c>
      <c r="B19" s="329"/>
      <c r="C19" s="198"/>
      <c r="D19" s="335"/>
      <c r="E19" s="335"/>
      <c r="F19" s="377" t="s">
        <v>57</v>
      </c>
      <c r="G19" s="377" t="s">
        <v>57</v>
      </c>
      <c r="H19" s="378" t="s">
        <v>9</v>
      </c>
      <c r="I19" s="378" t="s">
        <v>18</v>
      </c>
      <c r="J19" s="379" t="s">
        <v>57</v>
      </c>
      <c r="K19" s="378" t="s">
        <v>18</v>
      </c>
      <c r="L19" s="377" t="s">
        <v>57</v>
      </c>
      <c r="M19" s="380" t="s">
        <v>98</v>
      </c>
      <c r="N19" s="403" t="s">
        <v>5</v>
      </c>
    </row>
    <row r="20" spans="1:20" ht="13.5" thickBot="1">
      <c r="A20" s="330" t="s">
        <v>17</v>
      </c>
      <c r="B20" s="331"/>
      <c r="C20" s="332"/>
      <c r="D20" s="334"/>
      <c r="E20" s="334"/>
      <c r="F20" s="381"/>
      <c r="G20" s="381"/>
      <c r="H20" s="382"/>
      <c r="I20" s="382"/>
      <c r="J20" s="387"/>
      <c r="K20" s="382"/>
      <c r="L20" s="381"/>
      <c r="M20" s="388" t="s">
        <v>101</v>
      </c>
      <c r="N20" s="404" t="s">
        <v>9</v>
      </c>
    </row>
    <row r="21" spans="1:20">
      <c r="A21" s="341" t="s">
        <v>343</v>
      </c>
      <c r="B21" s="1"/>
      <c r="C21" s="1"/>
      <c r="D21" s="1"/>
      <c r="E21" s="1"/>
      <c r="F21" s="389"/>
      <c r="G21" s="271"/>
      <c r="H21" s="271"/>
      <c r="I21" s="271"/>
      <c r="J21" s="271"/>
      <c r="K21" s="271"/>
      <c r="L21" s="271"/>
      <c r="M21" s="271"/>
      <c r="N21" s="217"/>
    </row>
    <row r="22" spans="1:20" s="36" customFormat="1">
      <c r="A22" s="36">
        <v>4379</v>
      </c>
      <c r="B22" s="264" t="s">
        <v>80</v>
      </c>
      <c r="C22" s="297" t="s">
        <v>79</v>
      </c>
      <c r="D22" s="297" t="s">
        <v>163</v>
      </c>
      <c r="E22" s="297" t="s">
        <v>192</v>
      </c>
      <c r="F22" s="474">
        <v>177440518</v>
      </c>
      <c r="G22" s="474">
        <v>177440518</v>
      </c>
      <c r="H22" s="340">
        <v>41857</v>
      </c>
      <c r="I22" s="340">
        <f t="shared" ref="I22:I29" si="0">H22+35</f>
        <v>41892</v>
      </c>
      <c r="J22" s="474">
        <v>80574602.449999988</v>
      </c>
      <c r="K22" s="340">
        <v>43099</v>
      </c>
      <c r="L22" s="101">
        <v>80574602.449999988</v>
      </c>
      <c r="M22" s="368">
        <f t="shared" ref="M22:M29" si="1">J22-L22</f>
        <v>0</v>
      </c>
      <c r="N22" s="568">
        <v>42411</v>
      </c>
      <c r="O22" s="569">
        <v>4566</v>
      </c>
    </row>
    <row r="23" spans="1:20" s="36" customFormat="1">
      <c r="A23" s="36">
        <v>4380</v>
      </c>
      <c r="B23" s="264" t="s">
        <v>80</v>
      </c>
      <c r="C23" s="297" t="s">
        <v>79</v>
      </c>
      <c r="D23" s="297" t="s">
        <v>172</v>
      </c>
      <c r="E23" s="297" t="s">
        <v>192</v>
      </c>
      <c r="F23" s="445">
        <v>47559482</v>
      </c>
      <c r="G23" s="445">
        <v>47559482</v>
      </c>
      <c r="H23" s="340">
        <v>41857</v>
      </c>
      <c r="I23" s="340">
        <f t="shared" si="0"/>
        <v>41892</v>
      </c>
      <c r="J23" s="412">
        <v>47559482</v>
      </c>
      <c r="K23" s="340">
        <v>43099</v>
      </c>
      <c r="L23" s="92">
        <v>47559482</v>
      </c>
      <c r="M23" s="368">
        <f t="shared" si="1"/>
        <v>0</v>
      </c>
      <c r="N23" s="568">
        <v>42411</v>
      </c>
      <c r="O23" s="569">
        <v>4566</v>
      </c>
    </row>
    <row r="24" spans="1:20" s="1" customFormat="1">
      <c r="A24" s="17">
        <v>4405</v>
      </c>
      <c r="B24" s="264" t="s">
        <v>80</v>
      </c>
      <c r="C24" s="52" t="s">
        <v>79</v>
      </c>
      <c r="D24" s="1" t="s">
        <v>163</v>
      </c>
      <c r="E24" s="1" t="s">
        <v>192</v>
      </c>
      <c r="F24" s="368">
        <v>220000000</v>
      </c>
      <c r="G24" s="368">
        <v>220000000</v>
      </c>
      <c r="H24" s="3">
        <v>41865</v>
      </c>
      <c r="I24" s="3">
        <f t="shared" si="0"/>
        <v>41900</v>
      </c>
      <c r="J24" s="368">
        <v>220000000</v>
      </c>
      <c r="K24" s="340">
        <v>43099</v>
      </c>
      <c r="L24" s="92">
        <v>220000000</v>
      </c>
      <c r="M24" s="368">
        <f t="shared" si="1"/>
        <v>0</v>
      </c>
      <c r="N24" s="568">
        <v>42411</v>
      </c>
      <c r="O24" s="569">
        <v>4566</v>
      </c>
    </row>
    <row r="25" spans="1:20" s="1" customFormat="1">
      <c r="A25" s="17">
        <v>4414</v>
      </c>
      <c r="B25" s="264" t="s">
        <v>80</v>
      </c>
      <c r="C25" s="52" t="s">
        <v>105</v>
      </c>
      <c r="D25" s="1" t="s">
        <v>204</v>
      </c>
      <c r="F25" s="368">
        <v>74604596</v>
      </c>
      <c r="G25" s="368">
        <v>25000000</v>
      </c>
      <c r="H25" s="3">
        <v>41872</v>
      </c>
      <c r="I25" s="3">
        <f>H25+35</f>
        <v>41907</v>
      </c>
      <c r="J25" s="368">
        <v>25000000</v>
      </c>
      <c r="K25" s="340">
        <v>43099</v>
      </c>
      <c r="L25" s="92"/>
      <c r="M25" s="368">
        <f t="shared" si="1"/>
        <v>25000000</v>
      </c>
    </row>
    <row r="26" spans="1:20" s="1" customFormat="1">
      <c r="A26" s="17">
        <v>4415</v>
      </c>
      <c r="B26" s="264" t="s">
        <v>80</v>
      </c>
      <c r="C26" s="52" t="s">
        <v>81</v>
      </c>
      <c r="D26" s="1" t="s">
        <v>205</v>
      </c>
      <c r="E26" s="18"/>
      <c r="F26" s="368">
        <v>62500000</v>
      </c>
      <c r="G26" s="368">
        <v>25000000</v>
      </c>
      <c r="H26" s="3">
        <v>41872</v>
      </c>
      <c r="I26" s="3">
        <f>H26+35</f>
        <v>41907</v>
      </c>
      <c r="J26" s="368">
        <v>25000000</v>
      </c>
      <c r="K26" s="340">
        <v>43099</v>
      </c>
      <c r="L26" s="92"/>
      <c r="M26" s="368">
        <f t="shared" si="1"/>
        <v>25000000</v>
      </c>
      <c r="O26" s="359"/>
    </row>
    <row r="27" spans="1:20" s="1" customFormat="1">
      <c r="A27" s="17">
        <v>4416</v>
      </c>
      <c r="B27" s="264" t="s">
        <v>86</v>
      </c>
      <c r="C27" s="52" t="s">
        <v>206</v>
      </c>
      <c r="D27" s="1" t="s">
        <v>207</v>
      </c>
      <c r="F27" s="368">
        <v>41218873</v>
      </c>
      <c r="G27" s="368">
        <v>24999246</v>
      </c>
      <c r="H27" s="3">
        <v>41872</v>
      </c>
      <c r="I27" s="3">
        <f t="shared" si="0"/>
        <v>41907</v>
      </c>
      <c r="J27" s="368">
        <v>14999246.4745</v>
      </c>
      <c r="K27" s="340">
        <v>43099</v>
      </c>
      <c r="L27" s="368">
        <v>14999246.4745</v>
      </c>
      <c r="M27" s="368">
        <f t="shared" si="1"/>
        <v>0</v>
      </c>
      <c r="N27" s="460">
        <v>42584</v>
      </c>
      <c r="O27" s="1">
        <v>4637</v>
      </c>
    </row>
    <row r="28" spans="1:20" s="1" customFormat="1">
      <c r="A28" s="17">
        <v>4417</v>
      </c>
      <c r="B28" s="264" t="s">
        <v>80</v>
      </c>
      <c r="C28" s="52" t="s">
        <v>106</v>
      </c>
      <c r="D28" s="1" t="s">
        <v>208</v>
      </c>
      <c r="F28" s="368">
        <v>33355040</v>
      </c>
      <c r="G28" s="368">
        <v>33355040</v>
      </c>
      <c r="H28" s="3">
        <v>41872</v>
      </c>
      <c r="I28" s="3">
        <f>H28+35</f>
        <v>41907</v>
      </c>
      <c r="J28" s="368">
        <v>33355040</v>
      </c>
      <c r="K28" s="340">
        <v>43099</v>
      </c>
      <c r="L28" s="92"/>
      <c r="M28" s="368">
        <f t="shared" si="1"/>
        <v>33355040</v>
      </c>
    </row>
    <row r="29" spans="1:20" s="1" customFormat="1">
      <c r="A29" s="17">
        <v>4424</v>
      </c>
      <c r="B29" s="264" t="s">
        <v>80</v>
      </c>
      <c r="C29" s="52" t="s">
        <v>150</v>
      </c>
      <c r="D29" s="1" t="s">
        <v>212</v>
      </c>
      <c r="F29" s="368">
        <v>100000000</v>
      </c>
      <c r="G29" s="368">
        <v>25000000</v>
      </c>
      <c r="H29" s="3">
        <v>41901</v>
      </c>
      <c r="I29" s="3">
        <f t="shared" si="0"/>
        <v>41936</v>
      </c>
      <c r="J29" s="368">
        <v>25000000</v>
      </c>
      <c r="K29" s="340">
        <v>43099</v>
      </c>
      <c r="L29" s="92"/>
      <c r="M29" s="368">
        <f t="shared" si="1"/>
        <v>25000000</v>
      </c>
    </row>
    <row r="30" spans="1:20" s="1" customFormat="1">
      <c r="A30" s="5"/>
      <c r="B30" s="4"/>
      <c r="C30" s="99"/>
      <c r="D30" s="4"/>
      <c r="E30" s="4"/>
      <c r="F30" s="414"/>
      <c r="G30" s="423"/>
      <c r="H30" s="8"/>
      <c r="I30" s="8"/>
      <c r="J30" s="417"/>
      <c r="K30" s="8"/>
      <c r="L30" s="8"/>
      <c r="M30" s="417"/>
      <c r="N30" s="360"/>
      <c r="O30" s="4"/>
      <c r="P30" s="4"/>
      <c r="Q30" s="4"/>
      <c r="R30" s="4"/>
      <c r="S30" s="4"/>
      <c r="T30" s="4"/>
    </row>
    <row r="31" spans="1:20" s="1" customFormat="1">
      <c r="A31" s="5"/>
      <c r="B31" s="4"/>
      <c r="C31" s="99"/>
      <c r="D31" s="4"/>
      <c r="E31" s="4"/>
      <c r="F31" s="414"/>
      <c r="G31" s="423"/>
      <c r="H31" s="8"/>
      <c r="I31" s="8"/>
      <c r="J31" s="426">
        <f>SUM(J22:J30)</f>
        <v>471488370.92449999</v>
      </c>
      <c r="K31" s="417"/>
      <c r="L31" s="426">
        <f>SUM(L22:L30)</f>
        <v>363133330.92449999</v>
      </c>
      <c r="M31" s="426">
        <f>SUM(M22:M30)</f>
        <v>108355040</v>
      </c>
      <c r="N31" s="360"/>
      <c r="O31" s="4"/>
      <c r="P31" s="4"/>
      <c r="Q31" s="4"/>
      <c r="R31" s="4"/>
      <c r="S31" s="4"/>
      <c r="T31" s="4"/>
    </row>
    <row r="32" spans="1:20">
      <c r="A32" s="1"/>
      <c r="B32" s="1"/>
      <c r="C32" s="1"/>
      <c r="D32" s="1"/>
      <c r="E32" s="1"/>
      <c r="F32" s="389"/>
      <c r="G32" s="271"/>
      <c r="H32" s="271"/>
      <c r="I32" s="271"/>
      <c r="J32" s="271"/>
      <c r="K32" s="271"/>
      <c r="L32" s="271"/>
      <c r="M32" s="271"/>
      <c r="N32" s="217"/>
    </row>
    <row r="33" spans="1:16">
      <c r="A33" s="1"/>
      <c r="B33" s="1"/>
      <c r="C33" s="1"/>
      <c r="D33" s="1"/>
      <c r="E33" s="1"/>
      <c r="F33" s="389"/>
      <c r="G33" s="271"/>
      <c r="H33" s="271"/>
      <c r="I33" s="271"/>
      <c r="J33" s="271"/>
      <c r="K33" s="271"/>
      <c r="L33" s="271"/>
      <c r="M33" s="271"/>
      <c r="N33" s="217"/>
    </row>
    <row r="34" spans="1:16">
      <c r="A34" s="425" t="s">
        <v>26</v>
      </c>
      <c r="B34" s="1"/>
      <c r="C34" s="1"/>
      <c r="D34" s="1"/>
      <c r="E34" s="1"/>
      <c r="F34" s="389"/>
      <c r="G34" s="271"/>
      <c r="H34" s="271"/>
      <c r="I34" s="271"/>
      <c r="J34" s="271"/>
      <c r="K34" s="271"/>
      <c r="L34" s="271"/>
      <c r="M34" s="271"/>
      <c r="N34" s="217"/>
    </row>
    <row r="35" spans="1:16" s="1" customFormat="1">
      <c r="A35" s="17">
        <v>4420</v>
      </c>
      <c r="B35" s="1" t="s">
        <v>86</v>
      </c>
      <c r="C35" s="52" t="s">
        <v>209</v>
      </c>
      <c r="D35" s="1" t="s">
        <v>210</v>
      </c>
      <c r="F35" s="480">
        <v>200000000</v>
      </c>
      <c r="G35" s="480">
        <v>200000000</v>
      </c>
      <c r="H35" s="3">
        <v>41874</v>
      </c>
      <c r="I35" s="3">
        <f>H35+35</f>
        <v>41909</v>
      </c>
      <c r="J35" s="480">
        <v>29724277</v>
      </c>
      <c r="K35" s="340">
        <v>43099</v>
      </c>
      <c r="L35" s="366">
        <v>29724277</v>
      </c>
      <c r="M35" s="480">
        <f>J35-L35</f>
        <v>0</v>
      </c>
      <c r="N35" s="3">
        <v>42556</v>
      </c>
      <c r="O35" s="1">
        <v>4559</v>
      </c>
    </row>
    <row r="36" spans="1:16">
      <c r="A36" s="1"/>
      <c r="B36" s="1"/>
      <c r="C36" s="1"/>
      <c r="D36" s="1"/>
      <c r="E36" s="1"/>
      <c r="F36" s="389"/>
      <c r="G36" s="271"/>
      <c r="H36" s="271"/>
      <c r="I36" s="271"/>
      <c r="J36" s="271"/>
      <c r="K36" s="271"/>
      <c r="L36" s="271"/>
      <c r="M36" s="271"/>
      <c r="N36" s="217"/>
    </row>
    <row r="37" spans="1:16">
      <c r="A37" s="1"/>
      <c r="B37" s="1"/>
      <c r="C37" s="1"/>
      <c r="D37" s="1"/>
      <c r="E37" s="1"/>
      <c r="F37" s="389"/>
      <c r="G37" s="271"/>
      <c r="H37" s="271"/>
      <c r="I37" s="271"/>
      <c r="J37" s="393">
        <f>SUM(J35:J36)</f>
        <v>29724277</v>
      </c>
      <c r="K37" s="271"/>
      <c r="L37" s="393">
        <f>SUM(L35:L36)</f>
        <v>29724277</v>
      </c>
      <c r="M37" s="393">
        <f>SUM(M35:M36)</f>
        <v>0</v>
      </c>
      <c r="N37" s="389"/>
    </row>
    <row r="38" spans="1:16">
      <c r="A38" s="1"/>
      <c r="B38" s="1"/>
      <c r="C38" s="1"/>
      <c r="D38" s="1"/>
      <c r="E38" s="1"/>
      <c r="F38" s="389"/>
      <c r="G38" s="271"/>
      <c r="H38" s="271"/>
      <c r="I38" s="271"/>
      <c r="J38" s="271"/>
      <c r="K38" s="271"/>
      <c r="L38" s="271"/>
      <c r="M38" s="271"/>
      <c r="N38" s="217"/>
    </row>
    <row r="39" spans="1:16">
      <c r="A39" s="425" t="s">
        <v>102</v>
      </c>
      <c r="B39" s="1"/>
      <c r="C39" s="1"/>
      <c r="D39" s="1"/>
      <c r="E39" s="1"/>
      <c r="F39" s="389"/>
      <c r="G39" s="271"/>
      <c r="H39" s="271"/>
      <c r="I39" s="271"/>
      <c r="J39" s="271"/>
      <c r="K39" s="271"/>
      <c r="L39" s="271"/>
      <c r="M39" s="271"/>
      <c r="N39" s="217"/>
    </row>
    <row r="40" spans="1:16" s="36" customFormat="1">
      <c r="A40" s="36">
        <v>4385</v>
      </c>
      <c r="B40" s="264" t="s">
        <v>80</v>
      </c>
      <c r="C40" s="1" t="s">
        <v>157</v>
      </c>
      <c r="D40" s="1" t="s">
        <v>102</v>
      </c>
      <c r="E40" s="1" t="s">
        <v>88</v>
      </c>
      <c r="F40" s="267">
        <v>10000000</v>
      </c>
      <c r="G40" s="267">
        <v>10000000</v>
      </c>
      <c r="H40" s="316">
        <v>41863</v>
      </c>
      <c r="I40" s="340">
        <f>H40+35</f>
        <v>41898</v>
      </c>
      <c r="J40" s="480">
        <v>8856362</v>
      </c>
      <c r="K40" s="340">
        <v>43099</v>
      </c>
      <c r="L40" s="480">
        <v>8856362</v>
      </c>
      <c r="M40" s="368">
        <f t="shared" ref="M40:M46" si="2">J40-L40</f>
        <v>0</v>
      </c>
      <c r="N40" s="15">
        <v>42648</v>
      </c>
      <c r="O40" s="599">
        <v>4640</v>
      </c>
    </row>
    <row r="41" spans="1:16" s="36" customFormat="1">
      <c r="A41" s="400">
        <v>4387</v>
      </c>
      <c r="B41" s="264" t="s">
        <v>80</v>
      </c>
      <c r="C41" s="1" t="s">
        <v>156</v>
      </c>
      <c r="D41" s="1" t="s">
        <v>102</v>
      </c>
      <c r="E41" s="52" t="s">
        <v>83</v>
      </c>
      <c r="F41" s="445">
        <v>13000000</v>
      </c>
      <c r="G41" s="445">
        <v>13000000</v>
      </c>
      <c r="H41" s="316">
        <v>41863</v>
      </c>
      <c r="I41" s="340">
        <f t="shared" ref="I41:I42" si="3">H41+35</f>
        <v>41898</v>
      </c>
      <c r="J41" s="548">
        <v>1636000</v>
      </c>
      <c r="K41" s="340">
        <v>43099</v>
      </c>
      <c r="L41" s="92">
        <v>1636000</v>
      </c>
      <c r="M41" s="368">
        <f t="shared" si="2"/>
        <v>0</v>
      </c>
      <c r="N41" s="136">
        <v>42545</v>
      </c>
      <c r="O41" s="599">
        <v>4539</v>
      </c>
    </row>
    <row r="42" spans="1:16" s="36" customFormat="1">
      <c r="A42" s="400">
        <v>4388</v>
      </c>
      <c r="B42" s="264" t="s">
        <v>80</v>
      </c>
      <c r="C42" s="1" t="s">
        <v>200</v>
      </c>
      <c r="D42" s="1" t="s">
        <v>102</v>
      </c>
      <c r="E42" s="52" t="s">
        <v>201</v>
      </c>
      <c r="F42" s="445">
        <v>20000000</v>
      </c>
      <c r="G42" s="445">
        <v>20000000</v>
      </c>
      <c r="H42" s="316">
        <v>41863</v>
      </c>
      <c r="I42" s="340">
        <f t="shared" si="3"/>
        <v>41898</v>
      </c>
      <c r="J42" s="479">
        <v>20000000</v>
      </c>
      <c r="K42" s="340">
        <v>43099</v>
      </c>
      <c r="L42" s="92">
        <v>20000000</v>
      </c>
      <c r="M42" s="368">
        <f t="shared" si="2"/>
        <v>0</v>
      </c>
      <c r="N42" s="136">
        <v>42587</v>
      </c>
      <c r="O42" s="599">
        <v>4584</v>
      </c>
    </row>
    <row r="43" spans="1:16" s="1" customFormat="1">
      <c r="A43" s="17">
        <v>4403</v>
      </c>
      <c r="B43" s="264" t="s">
        <v>80</v>
      </c>
      <c r="C43" s="52" t="s">
        <v>89</v>
      </c>
      <c r="D43" s="1" t="s">
        <v>102</v>
      </c>
      <c r="E43" s="1" t="s">
        <v>164</v>
      </c>
      <c r="F43" s="368">
        <v>65000000</v>
      </c>
      <c r="G43" s="368">
        <v>65000000</v>
      </c>
      <c r="H43" s="3">
        <v>41865</v>
      </c>
      <c r="I43" s="3">
        <f>H43+35</f>
        <v>41900</v>
      </c>
      <c r="J43" s="368">
        <v>54970000</v>
      </c>
      <c r="K43" s="340">
        <v>43099</v>
      </c>
      <c r="L43" s="366"/>
      <c r="M43" s="368">
        <f t="shared" si="2"/>
        <v>54970000</v>
      </c>
      <c r="N43" s="3"/>
      <c r="P43" s="13"/>
    </row>
    <row r="44" spans="1:16" s="1" customFormat="1">
      <c r="A44" s="17">
        <v>4406</v>
      </c>
      <c r="B44" s="264" t="s">
        <v>80</v>
      </c>
      <c r="C44" s="52" t="s">
        <v>184</v>
      </c>
      <c r="D44" s="1" t="s">
        <v>102</v>
      </c>
      <c r="E44" s="1" t="s">
        <v>211</v>
      </c>
      <c r="F44" s="368">
        <v>40000000</v>
      </c>
      <c r="G44" s="368">
        <v>40000000</v>
      </c>
      <c r="H44" s="3">
        <v>41865</v>
      </c>
      <c r="I44" s="3">
        <f>H44+35</f>
        <v>41900</v>
      </c>
      <c r="J44" s="368">
        <v>31700000</v>
      </c>
      <c r="K44" s="340">
        <v>43099</v>
      </c>
      <c r="L44" s="311">
        <v>31700000</v>
      </c>
      <c r="M44" s="368">
        <f t="shared" si="2"/>
        <v>0</v>
      </c>
      <c r="N44" s="3">
        <v>42532</v>
      </c>
      <c r="O44" s="1">
        <v>4564</v>
      </c>
    </row>
    <row r="45" spans="1:16" s="1" customFormat="1">
      <c r="A45" s="17">
        <v>4427</v>
      </c>
      <c r="B45" s="264" t="s">
        <v>80</v>
      </c>
      <c r="C45" s="1" t="s">
        <v>182</v>
      </c>
      <c r="D45" s="1" t="s">
        <v>102</v>
      </c>
      <c r="E45" s="129" t="s">
        <v>183</v>
      </c>
      <c r="F45" s="368">
        <v>20000000</v>
      </c>
      <c r="G45" s="368">
        <v>20000000</v>
      </c>
      <c r="H45" s="3">
        <v>41908</v>
      </c>
      <c r="I45" s="3">
        <f>H45+35</f>
        <v>41943</v>
      </c>
      <c r="J45" s="368">
        <v>2582000</v>
      </c>
      <c r="K45" s="340">
        <v>43099</v>
      </c>
      <c r="L45" s="366"/>
      <c r="M45" s="368">
        <f t="shared" si="2"/>
        <v>2582000</v>
      </c>
      <c r="N45" s="3"/>
    </row>
    <row r="46" spans="1:16" s="1" customFormat="1">
      <c r="A46" s="17">
        <v>4428</v>
      </c>
      <c r="B46" s="264" t="s">
        <v>80</v>
      </c>
      <c r="C46" s="1" t="s">
        <v>202</v>
      </c>
      <c r="D46" s="1" t="s">
        <v>102</v>
      </c>
      <c r="E46" s="129" t="s">
        <v>85</v>
      </c>
      <c r="F46" s="368">
        <v>20000000</v>
      </c>
      <c r="G46" s="368">
        <v>20000000</v>
      </c>
      <c r="H46" s="3">
        <v>41923</v>
      </c>
      <c r="I46" s="3">
        <f>H46+35</f>
        <v>41958</v>
      </c>
      <c r="J46" s="368">
        <v>5000000</v>
      </c>
      <c r="K46" s="340">
        <v>43099</v>
      </c>
      <c r="L46" s="366">
        <v>5000000</v>
      </c>
      <c r="M46" s="368">
        <f t="shared" si="2"/>
        <v>0</v>
      </c>
      <c r="N46" s="3">
        <v>42536</v>
      </c>
      <c r="O46" s="1">
        <v>4545</v>
      </c>
    </row>
    <row r="47" spans="1:16">
      <c r="A47" s="1"/>
      <c r="B47" s="1"/>
      <c r="C47" s="1"/>
      <c r="D47" s="1"/>
      <c r="E47" s="1"/>
      <c r="F47" s="389"/>
      <c r="G47" s="271"/>
      <c r="H47" s="271"/>
      <c r="I47" s="271"/>
      <c r="J47" s="271"/>
      <c r="K47" s="271"/>
      <c r="L47" s="271"/>
      <c r="M47" s="271"/>
      <c r="N47" s="217"/>
    </row>
    <row r="48" spans="1:16">
      <c r="A48" s="1"/>
      <c r="B48" s="1"/>
      <c r="C48" s="1"/>
      <c r="D48" s="1"/>
      <c r="E48" s="1"/>
      <c r="F48" s="389"/>
      <c r="G48" s="115"/>
      <c r="H48" s="115"/>
      <c r="I48" s="271"/>
      <c r="J48" s="422">
        <f>SUM(J40:J47)</f>
        <v>124744362</v>
      </c>
      <c r="K48" s="271"/>
      <c r="L48" s="422">
        <f>SUM(L40:L47)</f>
        <v>67192362</v>
      </c>
      <c r="M48" s="422">
        <f>SUM(M40:M47)</f>
        <v>57552000</v>
      </c>
      <c r="N48" s="411"/>
    </row>
    <row r="49" spans="1:14">
      <c r="A49" s="1"/>
      <c r="B49" s="1"/>
      <c r="C49" s="1"/>
      <c r="D49" s="1"/>
      <c r="E49" s="1"/>
      <c r="F49" s="389"/>
      <c r="G49" s="115"/>
      <c r="H49" s="271"/>
      <c r="I49" s="271"/>
      <c r="J49" s="429"/>
      <c r="K49" s="271"/>
      <c r="L49" s="429"/>
      <c r="M49" s="429"/>
      <c r="N49" s="217"/>
    </row>
    <row r="50" spans="1:14">
      <c r="A50" s="1"/>
      <c r="B50" s="1"/>
      <c r="C50" s="1"/>
      <c r="D50" s="1"/>
      <c r="E50" s="1"/>
      <c r="F50" s="115"/>
      <c r="G50" s="115"/>
      <c r="H50" s="271"/>
      <c r="I50" s="271"/>
      <c r="J50" s="429"/>
      <c r="K50" s="271"/>
      <c r="L50" s="429"/>
      <c r="M50" s="429"/>
      <c r="N50" s="217"/>
    </row>
    <row r="51" spans="1:14" ht="12.75" thickBot="1">
      <c r="M51" s="590">
        <f>M14+M31+M37+M48</f>
        <v>295907040</v>
      </c>
    </row>
    <row r="52" spans="1:14" ht="12.75" thickTop="1"/>
    <row r="53" spans="1:14">
      <c r="L53" s="458"/>
      <c r="M53" s="271"/>
    </row>
    <row r="54" spans="1:14">
      <c r="L54" s="391"/>
      <c r="M54" s="271"/>
    </row>
    <row r="55" spans="1:14">
      <c r="M55" s="271"/>
    </row>
    <row r="56" spans="1:14">
      <c r="M56" s="271"/>
    </row>
    <row r="58" spans="1:14">
      <c r="M58" s="271"/>
      <c r="N58" s="452"/>
    </row>
    <row r="59" spans="1:14">
      <c r="M59" s="271"/>
      <c r="N59" s="452"/>
    </row>
    <row r="60" spans="1:14">
      <c r="M60" s="271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77"/>
  <sheetViews>
    <sheetView topLeftCell="F1" workbookViewId="0">
      <selection activeCell="O31" sqref="O31:R37"/>
    </sheetView>
  </sheetViews>
  <sheetFormatPr defaultRowHeight="12"/>
  <cols>
    <col min="1" max="1" width="10.140625" customWidth="1"/>
    <col min="2" max="2" width="14.85546875" customWidth="1"/>
    <col min="3" max="3" width="31.5703125" customWidth="1"/>
    <col min="4" max="4" width="51.8554687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8.140625" bestFit="1" customWidth="1"/>
    <col min="9" max="9" width="12.140625" bestFit="1" customWidth="1"/>
    <col min="10" max="10" width="14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6.28515625" style="577" bestFit="1" customWidth="1"/>
    <col min="16" max="16" width="14" bestFit="1" customWidth="1"/>
    <col min="18" max="18" width="14.7109375" bestFit="1" customWidth="1"/>
  </cols>
  <sheetData>
    <row r="1" spans="1:15" ht="12.75">
      <c r="A1" s="336"/>
      <c r="B1" s="336" t="s">
        <v>223</v>
      </c>
      <c r="C1" s="338"/>
      <c r="D1" s="339"/>
      <c r="E1" s="342"/>
      <c r="F1" s="374"/>
      <c r="G1" s="374"/>
      <c r="H1" s="375"/>
      <c r="I1" s="375"/>
      <c r="J1" s="376"/>
      <c r="K1" s="375"/>
      <c r="L1" s="374"/>
      <c r="M1" s="375"/>
      <c r="N1" s="402"/>
    </row>
    <row r="2" spans="1:15" ht="12.75">
      <c r="A2" s="326" t="s">
        <v>34</v>
      </c>
      <c r="B2" s="327" t="s">
        <v>39</v>
      </c>
      <c r="C2" s="198" t="s">
        <v>32</v>
      </c>
      <c r="D2" s="328" t="s">
        <v>51</v>
      </c>
      <c r="E2" s="328" t="s">
        <v>47</v>
      </c>
      <c r="F2" s="377" t="s">
        <v>92</v>
      </c>
      <c r="G2" s="377" t="s">
        <v>93</v>
      </c>
      <c r="H2" s="378" t="s">
        <v>104</v>
      </c>
      <c r="I2" s="378" t="s">
        <v>94</v>
      </c>
      <c r="J2" s="379" t="s">
        <v>95</v>
      </c>
      <c r="K2" s="378"/>
      <c r="L2" s="377" t="s">
        <v>96</v>
      </c>
      <c r="M2" s="380" t="s">
        <v>97</v>
      </c>
      <c r="N2" s="403" t="s">
        <v>23</v>
      </c>
    </row>
    <row r="3" spans="1:15" ht="12.75">
      <c r="A3" s="326" t="s">
        <v>50</v>
      </c>
      <c r="B3" s="329"/>
      <c r="C3" s="198"/>
      <c r="D3" s="328"/>
      <c r="E3" s="328"/>
      <c r="F3" s="377" t="s">
        <v>57</v>
      </c>
      <c r="G3" s="377" t="s">
        <v>57</v>
      </c>
      <c r="H3" s="378" t="s">
        <v>9</v>
      </c>
      <c r="I3" s="378" t="s">
        <v>18</v>
      </c>
      <c r="J3" s="379" t="s">
        <v>57</v>
      </c>
      <c r="K3" s="378" t="s">
        <v>18</v>
      </c>
      <c r="L3" s="377" t="s">
        <v>57</v>
      </c>
      <c r="M3" s="380" t="s">
        <v>98</v>
      </c>
      <c r="N3" s="403" t="s">
        <v>5</v>
      </c>
    </row>
    <row r="4" spans="1:15" ht="13.5" thickBot="1">
      <c r="A4" s="330" t="s">
        <v>17</v>
      </c>
      <c r="B4" s="331"/>
      <c r="C4" s="332"/>
      <c r="D4" s="333"/>
      <c r="E4" s="333"/>
      <c r="F4" s="381"/>
      <c r="G4" s="381"/>
      <c r="H4" s="382"/>
      <c r="I4" s="382"/>
      <c r="J4" s="383"/>
      <c r="K4" s="382"/>
      <c r="L4" s="381"/>
      <c r="M4" s="381"/>
      <c r="N4" s="404" t="s">
        <v>9</v>
      </c>
    </row>
    <row r="5" spans="1:15">
      <c r="A5" s="325"/>
      <c r="B5" s="325"/>
      <c r="C5" s="325"/>
      <c r="D5" s="325"/>
      <c r="E5" s="325"/>
      <c r="F5" s="384"/>
      <c r="G5" s="384"/>
      <c r="H5" s="271"/>
      <c r="I5" s="271"/>
      <c r="J5" s="271"/>
      <c r="K5" s="271"/>
      <c r="L5" s="271"/>
      <c r="M5" s="271"/>
      <c r="N5" s="217"/>
    </row>
    <row r="6" spans="1:15">
      <c r="A6" s="573" t="s">
        <v>99</v>
      </c>
      <c r="B6" s="325"/>
      <c r="C6" s="325"/>
      <c r="D6" s="325"/>
      <c r="E6" s="325"/>
      <c r="F6" s="385"/>
      <c r="G6" s="385"/>
      <c r="H6" s="271"/>
      <c r="I6" s="271"/>
      <c r="J6" s="271"/>
      <c r="K6" s="271"/>
      <c r="L6" s="271"/>
      <c r="M6" s="271"/>
      <c r="N6" s="217"/>
    </row>
    <row r="7" spans="1:15" s="325" customFormat="1">
      <c r="A7" s="371" t="s">
        <v>221</v>
      </c>
      <c r="B7" s="1" t="s">
        <v>80</v>
      </c>
      <c r="C7" s="1" t="s">
        <v>158</v>
      </c>
      <c r="D7" s="1" t="s">
        <v>222</v>
      </c>
      <c r="E7" s="1" t="s">
        <v>85</v>
      </c>
      <c r="F7" s="91">
        <v>35000000</v>
      </c>
      <c r="G7" s="91">
        <v>35000000</v>
      </c>
      <c r="H7" s="316">
        <v>42371</v>
      </c>
      <c r="I7" s="316">
        <v>42384</v>
      </c>
      <c r="J7" s="91">
        <v>35000000</v>
      </c>
      <c r="K7" s="316">
        <v>43464</v>
      </c>
      <c r="L7" s="87">
        <v>33500000</v>
      </c>
      <c r="M7" s="87">
        <f>J7-L7</f>
        <v>1500000</v>
      </c>
      <c r="N7" s="406">
        <v>42721</v>
      </c>
      <c r="O7" s="579"/>
    </row>
    <row r="8" spans="1:15" s="325" customFormat="1">
      <c r="A8" s="596" t="s">
        <v>225</v>
      </c>
      <c r="B8" s="1" t="s">
        <v>86</v>
      </c>
      <c r="C8" s="1" t="s">
        <v>202</v>
      </c>
      <c r="D8" s="1" t="s">
        <v>226</v>
      </c>
      <c r="E8" s="1" t="s">
        <v>85</v>
      </c>
      <c r="F8" s="91">
        <v>28000000</v>
      </c>
      <c r="G8" s="91">
        <v>28000000</v>
      </c>
      <c r="H8" s="316">
        <v>42371</v>
      </c>
      <c r="I8" s="316">
        <v>42384</v>
      </c>
      <c r="J8" s="91">
        <v>28000000</v>
      </c>
      <c r="K8" s="316">
        <v>43464</v>
      </c>
      <c r="L8" s="82">
        <v>28000000</v>
      </c>
      <c r="M8" s="87">
        <f>J8-L8</f>
        <v>0</v>
      </c>
      <c r="N8" s="406">
        <v>42580</v>
      </c>
      <c r="O8" s="579"/>
    </row>
    <row r="9" spans="1:15" s="394" customFormat="1">
      <c r="A9" s="549" t="s">
        <v>228</v>
      </c>
      <c r="B9" s="4" t="s">
        <v>80</v>
      </c>
      <c r="C9" s="4" t="s">
        <v>202</v>
      </c>
      <c r="D9" s="4" t="s">
        <v>233</v>
      </c>
      <c r="E9" s="4" t="s">
        <v>85</v>
      </c>
      <c r="F9" s="85">
        <v>44000000</v>
      </c>
      <c r="G9" s="85">
        <v>44000000</v>
      </c>
      <c r="H9" s="390">
        <v>42371</v>
      </c>
      <c r="I9" s="390">
        <v>42384</v>
      </c>
      <c r="J9" s="85">
        <v>44000000</v>
      </c>
      <c r="K9" s="390">
        <v>43464</v>
      </c>
      <c r="L9" s="88">
        <v>0</v>
      </c>
      <c r="M9" s="88">
        <f>J9-L9</f>
        <v>44000000</v>
      </c>
      <c r="N9" s="228"/>
      <c r="O9" s="578"/>
    </row>
    <row r="10" spans="1:15" s="394" customFormat="1">
      <c r="A10" s="549" t="s">
        <v>241</v>
      </c>
      <c r="B10" s="4" t="s">
        <v>80</v>
      </c>
      <c r="C10" s="4" t="s">
        <v>202</v>
      </c>
      <c r="D10" s="4" t="s">
        <v>242</v>
      </c>
      <c r="E10" s="4" t="s">
        <v>85</v>
      </c>
      <c r="F10" s="85">
        <v>41000000</v>
      </c>
      <c r="G10" s="563">
        <v>24780000</v>
      </c>
      <c r="H10" s="390">
        <v>42382</v>
      </c>
      <c r="I10" s="390">
        <v>42396</v>
      </c>
      <c r="J10" s="563">
        <v>24780000</v>
      </c>
      <c r="K10" s="390">
        <v>43464</v>
      </c>
      <c r="L10" s="88">
        <v>0</v>
      </c>
      <c r="M10" s="88">
        <f>J10-L10</f>
        <v>24780000</v>
      </c>
      <c r="N10" s="228"/>
      <c r="O10" s="578"/>
    </row>
    <row r="11" spans="1:15" s="325" customFormat="1">
      <c r="A11" s="371" t="s">
        <v>243</v>
      </c>
      <c r="B11" s="1" t="s">
        <v>161</v>
      </c>
      <c r="C11" s="1" t="s">
        <v>202</v>
      </c>
      <c r="D11" s="1" t="s">
        <v>244</v>
      </c>
      <c r="E11" s="1" t="s">
        <v>85</v>
      </c>
      <c r="F11" s="91">
        <v>28000000</v>
      </c>
      <c r="G11" s="91"/>
      <c r="H11" s="316"/>
      <c r="I11" s="316"/>
      <c r="J11" s="91"/>
      <c r="K11" s="316"/>
      <c r="L11" s="87"/>
      <c r="M11" s="87"/>
      <c r="N11" s="217"/>
      <c r="O11" s="579"/>
    </row>
    <row r="12" spans="1:15" s="325" customFormat="1">
      <c r="A12" s="371" t="s">
        <v>246</v>
      </c>
      <c r="B12" s="1" t="s">
        <v>161</v>
      </c>
      <c r="C12" s="1" t="s">
        <v>202</v>
      </c>
      <c r="D12" s="1" t="s">
        <v>245</v>
      </c>
      <c r="E12" s="1" t="s">
        <v>249</v>
      </c>
      <c r="F12" s="91">
        <v>38000000</v>
      </c>
      <c r="G12" s="91"/>
      <c r="H12" s="316"/>
      <c r="I12" s="316"/>
      <c r="J12" s="91"/>
      <c r="K12" s="316"/>
      <c r="L12" s="87"/>
      <c r="M12" s="87"/>
      <c r="N12" s="217"/>
      <c r="O12" s="579"/>
    </row>
    <row r="13" spans="1:15" s="325" customFormat="1">
      <c r="A13" s="371" t="s">
        <v>247</v>
      </c>
      <c r="B13" s="1" t="s">
        <v>161</v>
      </c>
      <c r="C13" s="1" t="s">
        <v>202</v>
      </c>
      <c r="D13" s="1" t="s">
        <v>248</v>
      </c>
      <c r="E13" s="1" t="s">
        <v>85</v>
      </c>
      <c r="F13" s="91">
        <v>38000000</v>
      </c>
      <c r="G13" s="91"/>
      <c r="H13" s="316"/>
      <c r="I13" s="316"/>
      <c r="J13" s="91"/>
      <c r="K13" s="316"/>
      <c r="L13" s="87"/>
      <c r="M13" s="87"/>
      <c r="N13" s="217"/>
      <c r="O13" s="579"/>
    </row>
    <row r="14" spans="1:15" s="325" customFormat="1">
      <c r="A14" s="1" t="s">
        <v>261</v>
      </c>
      <c r="B14" s="1" t="s">
        <v>161</v>
      </c>
      <c r="C14" s="297" t="s">
        <v>260</v>
      </c>
      <c r="D14" s="1" t="s">
        <v>262</v>
      </c>
      <c r="E14" s="1" t="s">
        <v>83</v>
      </c>
      <c r="F14" s="91">
        <v>35000000</v>
      </c>
      <c r="G14" s="91"/>
      <c r="H14" s="316"/>
      <c r="I14" s="316"/>
      <c r="J14" s="91"/>
      <c r="K14" s="316"/>
      <c r="L14" s="87"/>
      <c r="M14" s="87"/>
      <c r="N14" s="217"/>
      <c r="O14" s="579"/>
    </row>
    <row r="15" spans="1:15" s="325" customFormat="1">
      <c r="A15" s="1" t="s">
        <v>338</v>
      </c>
      <c r="B15" s="1" t="s">
        <v>161</v>
      </c>
      <c r="C15" s="297" t="s">
        <v>260</v>
      </c>
      <c r="D15" s="1" t="s">
        <v>339</v>
      </c>
      <c r="E15" s="1" t="s">
        <v>256</v>
      </c>
      <c r="F15" s="91">
        <v>45000000</v>
      </c>
      <c r="G15" s="91"/>
      <c r="H15" s="316"/>
      <c r="I15" s="316"/>
      <c r="J15" s="91"/>
      <c r="K15" s="316"/>
      <c r="L15" s="87"/>
      <c r="M15" s="87"/>
      <c r="N15" s="217"/>
      <c r="O15" s="579"/>
    </row>
    <row r="16" spans="1:15" s="325" customFormat="1">
      <c r="A16" s="1" t="s">
        <v>340</v>
      </c>
      <c r="B16" s="1" t="s">
        <v>161</v>
      </c>
      <c r="C16" s="297" t="s">
        <v>260</v>
      </c>
      <c r="D16" s="1" t="s">
        <v>341</v>
      </c>
      <c r="E16" s="1" t="s">
        <v>83</v>
      </c>
      <c r="F16" s="91">
        <v>50000000</v>
      </c>
      <c r="G16" s="91"/>
      <c r="H16" s="316"/>
      <c r="I16" s="316"/>
      <c r="J16" s="91"/>
      <c r="K16" s="316"/>
      <c r="L16" s="87"/>
      <c r="M16" s="87"/>
      <c r="N16" s="217"/>
      <c r="O16" s="579"/>
    </row>
    <row r="17" spans="1:18" s="325" customFormat="1">
      <c r="A17" s="1"/>
      <c r="B17" s="1"/>
      <c r="C17" s="297"/>
      <c r="D17" s="1"/>
      <c r="E17" s="1"/>
      <c r="F17" s="91"/>
      <c r="G17" s="87"/>
      <c r="H17" s="271"/>
      <c r="I17" s="271"/>
      <c r="J17" s="271"/>
      <c r="K17" s="271"/>
      <c r="L17" s="87"/>
      <c r="M17" s="87"/>
      <c r="N17" s="217"/>
      <c r="O17" s="579"/>
    </row>
    <row r="18" spans="1:18">
      <c r="A18" s="1"/>
      <c r="B18" s="1"/>
      <c r="C18" s="1"/>
      <c r="D18" s="1"/>
      <c r="E18" s="1"/>
      <c r="F18" s="422">
        <f>SUM(F7:F17)</f>
        <v>382000000</v>
      </c>
      <c r="G18" s="422">
        <f>SUM(G7:G17)</f>
        <v>131780000</v>
      </c>
      <c r="H18" s="271"/>
      <c r="I18" s="271"/>
      <c r="J18" s="271"/>
      <c r="K18" s="271"/>
      <c r="L18" s="124">
        <f>SUM(L5:L17)</f>
        <v>61500000</v>
      </c>
      <c r="M18" s="124">
        <f>SUM(M5:M17)</f>
        <v>70280000</v>
      </c>
      <c r="N18" s="217"/>
    </row>
    <row r="19" spans="1:18">
      <c r="A19" s="1"/>
      <c r="B19" s="1"/>
      <c r="C19" s="1"/>
      <c r="D19" s="1"/>
      <c r="E19" s="1"/>
      <c r="F19" s="232"/>
      <c r="G19" s="232"/>
      <c r="H19" s="271"/>
      <c r="I19" s="271"/>
      <c r="J19" s="271"/>
      <c r="K19" s="271"/>
      <c r="L19" s="232"/>
      <c r="M19" s="232"/>
      <c r="N19" s="217"/>
    </row>
    <row r="20" spans="1:18" ht="12.75" thickBot="1">
      <c r="A20" s="1"/>
      <c r="B20" s="1"/>
      <c r="C20" s="1"/>
      <c r="D20" s="1"/>
      <c r="E20" s="1"/>
      <c r="F20" s="232"/>
      <c r="G20" s="232"/>
      <c r="H20" s="271"/>
      <c r="I20" s="271"/>
      <c r="J20" s="271"/>
      <c r="K20" s="271"/>
      <c r="L20" s="232"/>
      <c r="M20" s="232"/>
      <c r="N20" s="217"/>
    </row>
    <row r="21" spans="1:18" ht="12.75" thickBot="1">
      <c r="A21" s="1"/>
      <c r="B21" s="1"/>
      <c r="C21" s="1"/>
      <c r="D21" s="430" t="s">
        <v>214</v>
      </c>
      <c r="E21" s="431"/>
      <c r="F21" s="434">
        <v>131779999.94999981</v>
      </c>
      <c r="G21" s="232"/>
      <c r="H21" s="87"/>
      <c r="I21" s="271"/>
      <c r="J21" s="271"/>
      <c r="K21" s="271"/>
      <c r="L21" s="232"/>
      <c r="M21" s="232"/>
      <c r="N21" s="217"/>
    </row>
    <row r="22" spans="1:18">
      <c r="A22" s="1"/>
      <c r="B22" s="1"/>
      <c r="C22" s="1"/>
      <c r="D22" s="1"/>
      <c r="E22" s="1"/>
      <c r="F22" s="232"/>
      <c r="G22" s="232"/>
      <c r="H22" s="271"/>
      <c r="I22" s="271"/>
      <c r="J22" s="271"/>
      <c r="K22" s="271"/>
      <c r="L22" s="232"/>
      <c r="M22" s="232">
        <v>130528734</v>
      </c>
      <c r="N22" s="217"/>
    </row>
    <row r="23" spans="1:18">
      <c r="F23" s="421"/>
      <c r="G23" s="421"/>
      <c r="L23" s="412">
        <v>184997155</v>
      </c>
      <c r="M23">
        <v>54468421</v>
      </c>
    </row>
    <row r="25" spans="1:18" s="325" customFormat="1" ht="12.75" thickBot="1">
      <c r="A25" s="1"/>
      <c r="B25" s="1"/>
      <c r="C25" s="297"/>
      <c r="D25" s="1"/>
      <c r="E25" s="1"/>
      <c r="F25" s="91"/>
      <c r="G25" s="87"/>
      <c r="H25" s="271"/>
      <c r="I25" s="271"/>
      <c r="J25" s="271"/>
      <c r="K25" s="271"/>
      <c r="L25" s="271"/>
      <c r="M25" s="271"/>
      <c r="N25" s="217"/>
      <c r="O25" s="579"/>
    </row>
    <row r="26" spans="1:18" ht="12.75">
      <c r="A26" s="336"/>
      <c r="B26" s="336" t="s">
        <v>364</v>
      </c>
      <c r="C26" s="236"/>
      <c r="D26" s="236"/>
      <c r="E26" s="236"/>
      <c r="F26" s="386"/>
      <c r="G26" s="386"/>
      <c r="H26" s="386"/>
      <c r="I26" s="386"/>
      <c r="J26" s="386"/>
      <c r="K26" s="386"/>
      <c r="L26" s="386"/>
      <c r="M26" s="386"/>
      <c r="N26" s="405"/>
    </row>
    <row r="27" spans="1:18" ht="12.75">
      <c r="A27" s="326" t="s">
        <v>34</v>
      </c>
      <c r="B27" s="327" t="s">
        <v>39</v>
      </c>
      <c r="C27" s="198" t="s">
        <v>32</v>
      </c>
      <c r="D27" s="335" t="s">
        <v>51</v>
      </c>
      <c r="E27" s="335" t="s">
        <v>47</v>
      </c>
      <c r="F27" s="377" t="s">
        <v>92</v>
      </c>
      <c r="G27" s="377" t="s">
        <v>56</v>
      </c>
      <c r="H27" s="378"/>
      <c r="I27" s="378" t="s">
        <v>36</v>
      </c>
      <c r="J27" s="379" t="s">
        <v>95</v>
      </c>
      <c r="K27" s="378"/>
      <c r="L27" s="377" t="s">
        <v>100</v>
      </c>
      <c r="M27" s="380" t="s">
        <v>97</v>
      </c>
      <c r="N27" s="403" t="s">
        <v>23</v>
      </c>
    </row>
    <row r="28" spans="1:18" ht="12.75">
      <c r="A28" s="326" t="s">
        <v>50</v>
      </c>
      <c r="B28" s="329"/>
      <c r="C28" s="198"/>
      <c r="D28" s="335"/>
      <c r="E28" s="335"/>
      <c r="F28" s="377" t="s">
        <v>57</v>
      </c>
      <c r="G28" s="377" t="s">
        <v>57</v>
      </c>
      <c r="H28" s="378" t="s">
        <v>9</v>
      </c>
      <c r="I28" s="378" t="s">
        <v>18</v>
      </c>
      <c r="J28" s="379" t="s">
        <v>57</v>
      </c>
      <c r="K28" s="378" t="s">
        <v>18</v>
      </c>
      <c r="L28" s="377" t="s">
        <v>57</v>
      </c>
      <c r="M28" s="380" t="s">
        <v>98</v>
      </c>
      <c r="N28" s="403" t="s">
        <v>5</v>
      </c>
    </row>
    <row r="29" spans="1:18" ht="13.5" thickBot="1">
      <c r="A29" s="330" t="s">
        <v>17</v>
      </c>
      <c r="B29" s="331"/>
      <c r="C29" s="332"/>
      <c r="D29" s="334"/>
      <c r="E29" s="334"/>
      <c r="F29" s="381"/>
      <c r="G29" s="381"/>
      <c r="H29" s="382"/>
      <c r="I29" s="382"/>
      <c r="J29" s="387"/>
      <c r="K29" s="382"/>
      <c r="L29" s="381"/>
      <c r="M29" s="388" t="s">
        <v>101</v>
      </c>
      <c r="N29" s="404" t="s">
        <v>9</v>
      </c>
    </row>
    <row r="30" spans="1:18">
      <c r="A30" s="341" t="s">
        <v>58</v>
      </c>
    </row>
    <row r="31" spans="1:18" s="36" customFormat="1">
      <c r="A31" s="36">
        <v>4483</v>
      </c>
      <c r="B31" s="129" t="s">
        <v>80</v>
      </c>
      <c r="C31" s="297" t="s">
        <v>79</v>
      </c>
      <c r="D31" s="297" t="s">
        <v>167</v>
      </c>
      <c r="E31" s="297" t="s">
        <v>192</v>
      </c>
      <c r="F31" s="474">
        <v>106334337</v>
      </c>
      <c r="G31" s="474">
        <v>106334337</v>
      </c>
      <c r="H31" s="340">
        <v>42217</v>
      </c>
      <c r="I31" s="340">
        <f t="shared" ref="I31:I38" si="0">H31+35</f>
        <v>42252</v>
      </c>
      <c r="J31" s="410">
        <v>106334337</v>
      </c>
      <c r="K31" s="340">
        <f t="shared" ref="K31:K38" si="1">H31+180</f>
        <v>42397</v>
      </c>
      <c r="L31" s="101">
        <f>51865916+54468421</f>
        <v>106334337</v>
      </c>
      <c r="M31" s="410">
        <f>J31-L31</f>
        <v>0</v>
      </c>
      <c r="N31" s="568">
        <v>42411</v>
      </c>
      <c r="O31" s="670">
        <f>'[1]SC1 MRB'!P10-SUM('[1]2018 CF'!L22:L24)</f>
        <v>51865915.550000012</v>
      </c>
      <c r="P31" s="671">
        <f>L31-O31</f>
        <v>54468421.449999988</v>
      </c>
      <c r="Q31" s="672">
        <v>4566</v>
      </c>
      <c r="R31" s="650">
        <v>4611</v>
      </c>
    </row>
    <row r="32" spans="1:18" s="36" customFormat="1">
      <c r="A32" s="36">
        <v>4484</v>
      </c>
      <c r="B32" s="129" t="s">
        <v>80</v>
      </c>
      <c r="C32" s="297" t="s">
        <v>79</v>
      </c>
      <c r="D32" s="297" t="s">
        <v>167</v>
      </c>
      <c r="E32" s="297" t="s">
        <v>192</v>
      </c>
      <c r="F32" s="412">
        <v>175000000</v>
      </c>
      <c r="G32" s="412">
        <v>175000000</v>
      </c>
      <c r="H32" s="340">
        <v>42217</v>
      </c>
      <c r="I32" s="340">
        <f t="shared" si="0"/>
        <v>42252</v>
      </c>
      <c r="J32" s="412">
        <v>175000000</v>
      </c>
      <c r="K32" s="340">
        <f t="shared" si="1"/>
        <v>42397</v>
      </c>
      <c r="L32" s="101">
        <f>130528734+44471266</f>
        <v>175000000</v>
      </c>
      <c r="M32" s="589">
        <f t="shared" ref="M32:M38" si="2">J32-L32</f>
        <v>0</v>
      </c>
      <c r="N32" s="568">
        <v>42559</v>
      </c>
      <c r="O32" s="671">
        <f>'[1]SC1 MRB'!P11-P31</f>
        <v>130528733.55000001</v>
      </c>
      <c r="P32" s="670">
        <f>L32-O32</f>
        <v>44471266.449999988</v>
      </c>
      <c r="Q32" s="672">
        <v>4611</v>
      </c>
      <c r="R32" s="650">
        <v>4683</v>
      </c>
    </row>
    <row r="33" spans="1:20" s="36" customFormat="1">
      <c r="A33" s="36">
        <v>4486</v>
      </c>
      <c r="B33" s="129" t="s">
        <v>80</v>
      </c>
      <c r="C33" s="297" t="s">
        <v>184</v>
      </c>
      <c r="D33" s="297" t="s">
        <v>267</v>
      </c>
      <c r="E33" s="297" t="s">
        <v>192</v>
      </c>
      <c r="F33" s="412">
        <v>84383424.400000006</v>
      </c>
      <c r="G33" s="412">
        <v>84383424.400000006</v>
      </c>
      <c r="H33" s="340">
        <v>42222</v>
      </c>
      <c r="I33" s="340">
        <f t="shared" si="0"/>
        <v>42257</v>
      </c>
      <c r="J33" s="412">
        <v>84383424.400000006</v>
      </c>
      <c r="K33" s="340">
        <f t="shared" si="1"/>
        <v>42402</v>
      </c>
      <c r="L33" s="101">
        <v>0</v>
      </c>
      <c r="M33" s="589">
        <f t="shared" si="2"/>
        <v>84383424.400000006</v>
      </c>
      <c r="N33" s="34"/>
      <c r="O33" s="673"/>
      <c r="P33" s="674"/>
      <c r="Q33" s="673"/>
      <c r="R33" s="674"/>
    </row>
    <row r="34" spans="1:20" s="36" customFormat="1">
      <c r="A34" s="36">
        <v>4487</v>
      </c>
      <c r="B34" s="129" t="s">
        <v>80</v>
      </c>
      <c r="C34" s="297" t="s">
        <v>356</v>
      </c>
      <c r="D34" s="297" t="s">
        <v>204</v>
      </c>
      <c r="E34" s="297" t="s">
        <v>88</v>
      </c>
      <c r="F34" s="445">
        <v>25000000</v>
      </c>
      <c r="G34" s="445">
        <v>25000000</v>
      </c>
      <c r="H34" s="340">
        <v>42222</v>
      </c>
      <c r="I34" s="340">
        <f>H34+35</f>
        <v>42257</v>
      </c>
      <c r="J34" s="412">
        <v>25000000</v>
      </c>
      <c r="K34" s="340">
        <f>H34+180</f>
        <v>42402</v>
      </c>
      <c r="L34" s="101">
        <v>0</v>
      </c>
      <c r="M34" s="589">
        <f t="shared" si="2"/>
        <v>25000000</v>
      </c>
      <c r="N34" s="101"/>
      <c r="O34" s="672"/>
      <c r="P34" s="674"/>
      <c r="Q34" s="672"/>
      <c r="R34" s="674"/>
    </row>
    <row r="35" spans="1:20" s="36" customFormat="1">
      <c r="A35" s="36">
        <v>4488</v>
      </c>
      <c r="B35" s="129" t="s">
        <v>80</v>
      </c>
      <c r="C35" s="297" t="s">
        <v>79</v>
      </c>
      <c r="D35" s="297" t="s">
        <v>167</v>
      </c>
      <c r="E35" s="297" t="s">
        <v>192</v>
      </c>
      <c r="F35" s="412">
        <v>216481741.5</v>
      </c>
      <c r="G35" s="412">
        <v>216481741.5</v>
      </c>
      <c r="H35" s="340">
        <v>42222</v>
      </c>
      <c r="I35" s="340">
        <f t="shared" si="0"/>
        <v>42257</v>
      </c>
      <c r="J35" s="412">
        <v>216481741.5</v>
      </c>
      <c r="K35" s="340">
        <f t="shared" si="1"/>
        <v>42402</v>
      </c>
      <c r="L35" s="101">
        <v>216481741.5</v>
      </c>
      <c r="M35" s="589">
        <f t="shared" si="2"/>
        <v>0</v>
      </c>
      <c r="N35" s="101"/>
      <c r="O35" s="675">
        <f>L35</f>
        <v>216481741.5</v>
      </c>
      <c r="P35" s="676"/>
      <c r="Q35" s="650">
        <v>4683</v>
      </c>
      <c r="R35" s="676"/>
    </row>
    <row r="36" spans="1:20" s="36" customFormat="1">
      <c r="A36" s="36">
        <v>4489</v>
      </c>
      <c r="B36" s="129" t="s">
        <v>80</v>
      </c>
      <c r="C36" s="297" t="s">
        <v>184</v>
      </c>
      <c r="D36" s="297" t="s">
        <v>267</v>
      </c>
      <c r="E36" s="297" t="s">
        <v>192</v>
      </c>
      <c r="F36" s="412">
        <v>216481741.5</v>
      </c>
      <c r="G36" s="412">
        <v>216481741.5</v>
      </c>
      <c r="H36" s="340">
        <v>42222</v>
      </c>
      <c r="I36" s="340">
        <f t="shared" si="0"/>
        <v>42257</v>
      </c>
      <c r="J36" s="412">
        <v>216481741.5</v>
      </c>
      <c r="K36" s="340">
        <f t="shared" si="1"/>
        <v>42402</v>
      </c>
      <c r="L36" s="14">
        <v>0</v>
      </c>
      <c r="M36" s="589">
        <f t="shared" si="2"/>
        <v>216481741.5</v>
      </c>
      <c r="N36" s="101"/>
      <c r="O36" s="670"/>
      <c r="P36" s="676"/>
      <c r="Q36" s="670"/>
      <c r="R36" s="676"/>
    </row>
    <row r="37" spans="1:20" s="1" customFormat="1">
      <c r="A37" s="36">
        <v>4514</v>
      </c>
      <c r="B37" s="129" t="s">
        <v>80</v>
      </c>
      <c r="C37" s="297" t="s">
        <v>79</v>
      </c>
      <c r="D37" s="297" t="s">
        <v>253</v>
      </c>
      <c r="E37" s="297" t="s">
        <v>192</v>
      </c>
      <c r="F37" s="445">
        <v>758518258.5</v>
      </c>
      <c r="G37" s="445">
        <v>758518258.5</v>
      </c>
      <c r="H37" s="3">
        <v>42235</v>
      </c>
      <c r="I37" s="3">
        <f t="shared" si="0"/>
        <v>42270</v>
      </c>
      <c r="J37" s="368">
        <v>607470165.5</v>
      </c>
      <c r="K37" s="3">
        <f t="shared" si="1"/>
        <v>42415</v>
      </c>
      <c r="L37" s="311">
        <v>539046992.5</v>
      </c>
      <c r="M37" s="589">
        <f t="shared" si="2"/>
        <v>68423173</v>
      </c>
      <c r="N37" s="366"/>
      <c r="O37" s="675">
        <f>'[1]Aug 15'!P47-'[1]2019 CF'!P32-O35</f>
        <v>539046992.04999995</v>
      </c>
      <c r="P37" s="677"/>
      <c r="Q37" s="650">
        <v>4683</v>
      </c>
      <c r="R37" s="677"/>
    </row>
    <row r="38" spans="1:20" s="325" customFormat="1" ht="15">
      <c r="A38" s="36">
        <v>4516</v>
      </c>
      <c r="B38" s="129" t="s">
        <v>80</v>
      </c>
      <c r="C38" s="297" t="s">
        <v>184</v>
      </c>
      <c r="D38" s="297" t="s">
        <v>254</v>
      </c>
      <c r="E38" s="297" t="s">
        <v>192</v>
      </c>
      <c r="F38" s="412">
        <v>443000000</v>
      </c>
      <c r="G38" s="412">
        <v>443000000</v>
      </c>
      <c r="H38" s="316">
        <v>42235</v>
      </c>
      <c r="I38" s="316">
        <f t="shared" si="0"/>
        <v>42270</v>
      </c>
      <c r="J38" s="451">
        <v>367000000</v>
      </c>
      <c r="K38" s="316">
        <f t="shared" si="1"/>
        <v>42415</v>
      </c>
      <c r="L38" s="13">
        <v>0</v>
      </c>
      <c r="M38" s="589">
        <f t="shared" si="2"/>
        <v>367000000</v>
      </c>
      <c r="O38" s="15"/>
      <c r="P38" s="663"/>
      <c r="Q38" s="663"/>
      <c r="R38" s="664"/>
    </row>
    <row r="39" spans="1:20">
      <c r="F39" s="392"/>
      <c r="G39" s="392"/>
      <c r="H39" s="392"/>
      <c r="I39" s="392"/>
      <c r="J39" s="392"/>
      <c r="K39" s="392"/>
      <c r="L39" s="421"/>
      <c r="M39" s="659"/>
      <c r="O39" s="366"/>
      <c r="P39" s="665"/>
      <c r="Q39" s="665"/>
      <c r="R39" s="665"/>
    </row>
    <row r="40" spans="1:20">
      <c r="F40" s="392"/>
      <c r="G40" s="392"/>
      <c r="H40" s="392"/>
      <c r="I40" s="392"/>
      <c r="J40" s="422">
        <f>SUM(J31:J39)</f>
        <v>1798151409.9000001</v>
      </c>
      <c r="K40" s="543"/>
      <c r="L40" s="422">
        <f>SUM(L31:L39)</f>
        <v>1036863071</v>
      </c>
      <c r="M40" s="422">
        <f>SUM(M31:M39)</f>
        <v>761288338.89999998</v>
      </c>
      <c r="P40" s="665"/>
      <c r="Q40" s="665"/>
      <c r="R40" s="665"/>
    </row>
    <row r="41" spans="1:20">
      <c r="F41" s="392"/>
      <c r="G41" s="392"/>
      <c r="H41" s="392"/>
      <c r="I41" s="392"/>
      <c r="J41" s="392"/>
      <c r="K41" s="392"/>
      <c r="L41" s="421"/>
      <c r="M41" s="421"/>
      <c r="O41" s="582"/>
    </row>
    <row r="42" spans="1:20" ht="12.75" thickBot="1">
      <c r="F42" s="392"/>
      <c r="G42" s="392"/>
      <c r="H42" s="392"/>
      <c r="I42" s="392"/>
      <c r="J42" s="392"/>
      <c r="K42" s="392"/>
      <c r="L42" s="421"/>
      <c r="M42" s="421">
        <f>SUM(M33+M38+M36)</f>
        <v>667865165.89999998</v>
      </c>
    </row>
    <row r="43" spans="1:20">
      <c r="A43" s="362" t="s">
        <v>102</v>
      </c>
      <c r="F43" s="392"/>
      <c r="G43" s="410"/>
      <c r="H43" s="316"/>
      <c r="I43" s="392"/>
      <c r="J43" s="392"/>
      <c r="K43" s="392"/>
      <c r="L43" s="421"/>
      <c r="M43" s="421"/>
    </row>
    <row r="44" spans="1:20" s="1" customFormat="1">
      <c r="A44" s="36">
        <v>4493</v>
      </c>
      <c r="B44" s="129" t="s">
        <v>80</v>
      </c>
      <c r="C44" s="129" t="s">
        <v>150</v>
      </c>
      <c r="D44" s="129" t="s">
        <v>332</v>
      </c>
      <c r="E44" s="212" t="s">
        <v>159</v>
      </c>
      <c r="F44" s="475">
        <v>20000000</v>
      </c>
      <c r="G44" s="475">
        <v>20000000</v>
      </c>
      <c r="H44" s="340">
        <v>42228</v>
      </c>
      <c r="I44" s="340">
        <f>H44+35</f>
        <v>42263</v>
      </c>
      <c r="J44" s="438">
        <v>20000000</v>
      </c>
      <c r="K44" s="340">
        <f>H44+150</f>
        <v>42378</v>
      </c>
      <c r="L44" s="660">
        <v>20000000</v>
      </c>
      <c r="M44" s="410">
        <f>J44-L44</f>
        <v>0</v>
      </c>
      <c r="N44" s="34">
        <v>42530</v>
      </c>
      <c r="O44" s="583">
        <v>4583</v>
      </c>
    </row>
    <row r="45" spans="1:20" s="17" customFormat="1">
      <c r="A45" s="36">
        <v>4494</v>
      </c>
      <c r="B45" s="129" t="s">
        <v>80</v>
      </c>
      <c r="C45" s="129" t="s">
        <v>79</v>
      </c>
      <c r="D45" s="129" t="s">
        <v>227</v>
      </c>
      <c r="E45" s="212" t="s">
        <v>84</v>
      </c>
      <c r="F45" s="412">
        <v>18000000</v>
      </c>
      <c r="G45" s="412">
        <v>18000000</v>
      </c>
      <c r="H45" s="340">
        <v>42228</v>
      </c>
      <c r="I45" s="340">
        <f t="shared" ref="I45:I62" si="3">H45+35</f>
        <v>42263</v>
      </c>
      <c r="J45" s="412">
        <v>18000000</v>
      </c>
      <c r="K45" s="340">
        <f t="shared" ref="K45:K62" si="4">H45+150</f>
        <v>42378</v>
      </c>
      <c r="L45" s="81">
        <f>10000000+8000000</f>
        <v>18000000</v>
      </c>
      <c r="M45" s="589">
        <f t="shared" ref="M45:M60" si="5">J45-L45</f>
        <v>0</v>
      </c>
      <c r="N45" s="34">
        <v>42510</v>
      </c>
      <c r="O45" s="580">
        <v>4603</v>
      </c>
      <c r="P45" s="1">
        <v>4581</v>
      </c>
      <c r="Q45" s="36"/>
      <c r="R45" s="36"/>
      <c r="S45" s="36"/>
      <c r="T45" s="36"/>
    </row>
    <row r="46" spans="1:20" s="1" customFormat="1">
      <c r="A46" s="36">
        <v>4495</v>
      </c>
      <c r="B46" s="129" t="s">
        <v>80</v>
      </c>
      <c r="C46" s="129" t="s">
        <v>229</v>
      </c>
      <c r="D46" s="129" t="s">
        <v>240</v>
      </c>
      <c r="E46" s="212" t="s">
        <v>230</v>
      </c>
      <c r="F46" s="412">
        <v>20000000</v>
      </c>
      <c r="G46" s="412">
        <v>20000000</v>
      </c>
      <c r="H46" s="408">
        <v>42229</v>
      </c>
      <c r="I46" s="340">
        <f t="shared" si="3"/>
        <v>42264</v>
      </c>
      <c r="J46" s="412">
        <v>20000000</v>
      </c>
      <c r="K46" s="340">
        <f t="shared" si="4"/>
        <v>42379</v>
      </c>
      <c r="L46" s="660">
        <v>20000000</v>
      </c>
      <c r="M46" s="589">
        <f t="shared" si="5"/>
        <v>0</v>
      </c>
      <c r="N46" s="34">
        <v>42693</v>
      </c>
      <c r="O46" s="583">
        <v>4663</v>
      </c>
    </row>
    <row r="47" spans="1:20" s="17" customFormat="1">
      <c r="A47" s="36">
        <v>4496</v>
      </c>
      <c r="B47" s="129" t="s">
        <v>80</v>
      </c>
      <c r="C47" s="1" t="s">
        <v>184</v>
      </c>
      <c r="D47" s="52" t="s">
        <v>231</v>
      </c>
      <c r="E47" s="217" t="s">
        <v>234</v>
      </c>
      <c r="F47" s="315">
        <v>18535000</v>
      </c>
      <c r="G47" s="315">
        <v>18535000</v>
      </c>
      <c r="H47" s="406">
        <v>42229</v>
      </c>
      <c r="I47" s="340">
        <f t="shared" si="3"/>
        <v>42264</v>
      </c>
      <c r="J47" s="315">
        <v>18535000</v>
      </c>
      <c r="K47" s="340">
        <f t="shared" si="4"/>
        <v>42379</v>
      </c>
      <c r="L47" s="81">
        <f>8300000+10235000</f>
        <v>18535000</v>
      </c>
      <c r="M47" s="589">
        <f t="shared" si="5"/>
        <v>0</v>
      </c>
      <c r="N47" s="15">
        <v>42532</v>
      </c>
      <c r="O47" s="584" t="s">
        <v>480</v>
      </c>
      <c r="Q47" s="64"/>
    </row>
    <row r="48" spans="1:20" s="17" customFormat="1">
      <c r="A48" s="36">
        <v>4497</v>
      </c>
      <c r="B48" s="129" t="s">
        <v>80</v>
      </c>
      <c r="C48" s="1" t="s">
        <v>184</v>
      </c>
      <c r="D48" s="52" t="s">
        <v>232</v>
      </c>
      <c r="E48" s="217" t="s">
        <v>234</v>
      </c>
      <c r="F48" s="315">
        <v>17730000</v>
      </c>
      <c r="G48" s="315">
        <v>17730000</v>
      </c>
      <c r="H48" s="406">
        <v>42229</v>
      </c>
      <c r="I48" s="340">
        <f t="shared" si="3"/>
        <v>42264</v>
      </c>
      <c r="J48" s="315">
        <v>17730000</v>
      </c>
      <c r="K48" s="340">
        <f t="shared" si="4"/>
        <v>42379</v>
      </c>
      <c r="L48" s="81">
        <v>17730000</v>
      </c>
      <c r="M48" s="589">
        <f t="shared" si="5"/>
        <v>0</v>
      </c>
      <c r="O48" s="584">
        <v>4561</v>
      </c>
      <c r="P48" s="550"/>
      <c r="Q48" s="64"/>
    </row>
    <row r="49" spans="1:20" s="17" customFormat="1">
      <c r="A49" s="36">
        <v>4498</v>
      </c>
      <c r="B49" s="129" t="s">
        <v>80</v>
      </c>
      <c r="C49" s="1" t="s">
        <v>184</v>
      </c>
      <c r="D49" s="52" t="s">
        <v>235</v>
      </c>
      <c r="E49" s="217" t="s">
        <v>236</v>
      </c>
      <c r="F49" s="315">
        <v>2855000</v>
      </c>
      <c r="G49" s="315">
        <v>2855000</v>
      </c>
      <c r="H49" s="406">
        <v>42229</v>
      </c>
      <c r="I49" s="340">
        <f t="shared" si="3"/>
        <v>42264</v>
      </c>
      <c r="J49" s="315">
        <v>2855000</v>
      </c>
      <c r="K49" s="340">
        <f t="shared" si="4"/>
        <v>42379</v>
      </c>
      <c r="L49" s="81">
        <v>2855000</v>
      </c>
      <c r="M49" s="589">
        <f t="shared" si="5"/>
        <v>0</v>
      </c>
      <c r="O49" s="584">
        <v>4561</v>
      </c>
      <c r="Q49" s="64"/>
    </row>
    <row r="50" spans="1:20" s="17" customFormat="1">
      <c r="A50" s="36">
        <v>4499</v>
      </c>
      <c r="B50" s="129" t="s">
        <v>80</v>
      </c>
      <c r="C50" s="129" t="s">
        <v>79</v>
      </c>
      <c r="D50" s="129" t="s">
        <v>237</v>
      </c>
      <c r="E50" s="212" t="s">
        <v>238</v>
      </c>
      <c r="F50" s="412">
        <v>10000000</v>
      </c>
      <c r="G50" s="412">
        <v>10000000</v>
      </c>
      <c r="H50" s="408">
        <v>42229</v>
      </c>
      <c r="I50" s="340">
        <f t="shared" si="3"/>
        <v>42264</v>
      </c>
      <c r="J50" s="412">
        <v>10000000</v>
      </c>
      <c r="K50" s="340">
        <f t="shared" si="4"/>
        <v>42379</v>
      </c>
      <c r="L50" s="81">
        <v>10000000</v>
      </c>
      <c r="M50" s="589">
        <f t="shared" si="5"/>
        <v>0</v>
      </c>
      <c r="N50" s="34">
        <v>42538</v>
      </c>
      <c r="O50" s="580">
        <v>4581</v>
      </c>
      <c r="P50" s="36"/>
      <c r="Q50" s="36"/>
      <c r="R50" s="36"/>
      <c r="S50" s="36"/>
      <c r="T50" s="36"/>
    </row>
    <row r="51" spans="1:20" s="36" customFormat="1">
      <c r="A51" s="465">
        <v>4500</v>
      </c>
      <c r="B51" s="129" t="s">
        <v>80</v>
      </c>
      <c r="C51" s="1" t="s">
        <v>219</v>
      </c>
      <c r="D51" s="444" t="s">
        <v>239</v>
      </c>
      <c r="E51" s="217" t="s">
        <v>83</v>
      </c>
      <c r="F51" s="368">
        <v>15000000</v>
      </c>
      <c r="G51" s="451">
        <v>15000000</v>
      </c>
      <c r="H51" s="406">
        <v>42230</v>
      </c>
      <c r="I51" s="340">
        <f t="shared" si="3"/>
        <v>42265</v>
      </c>
      <c r="J51" s="451">
        <v>15000000</v>
      </c>
      <c r="K51" s="340">
        <f t="shared" si="4"/>
        <v>42380</v>
      </c>
      <c r="L51" s="81">
        <v>15000000</v>
      </c>
      <c r="M51" s="589">
        <f t="shared" si="5"/>
        <v>0</v>
      </c>
      <c r="N51" s="15">
        <v>42551</v>
      </c>
      <c r="O51" s="585">
        <v>4546</v>
      </c>
    </row>
    <row r="52" spans="1:20" s="1" customFormat="1">
      <c r="A52" s="36">
        <v>4508</v>
      </c>
      <c r="B52" s="129" t="s">
        <v>86</v>
      </c>
      <c r="C52" s="297" t="s">
        <v>219</v>
      </c>
      <c r="D52" s="297" t="s">
        <v>220</v>
      </c>
      <c r="E52" s="545" t="s">
        <v>83</v>
      </c>
      <c r="F52" s="412">
        <v>30000000</v>
      </c>
      <c r="G52" s="412">
        <v>30000000</v>
      </c>
      <c r="H52" s="316">
        <v>42231</v>
      </c>
      <c r="I52" s="316">
        <f t="shared" si="3"/>
        <v>42266</v>
      </c>
      <c r="J52" s="412">
        <v>30000000</v>
      </c>
      <c r="K52" s="316">
        <f t="shared" si="4"/>
        <v>42381</v>
      </c>
      <c r="L52" s="81">
        <f>26250000+3750000</f>
        <v>30000000</v>
      </c>
      <c r="M52" s="589">
        <f t="shared" si="5"/>
        <v>0</v>
      </c>
      <c r="N52" s="460">
        <v>42381</v>
      </c>
      <c r="O52" s="581">
        <v>4546</v>
      </c>
      <c r="P52" s="3"/>
    </row>
    <row r="53" spans="1:20" s="1" customFormat="1">
      <c r="A53" s="36">
        <v>4511</v>
      </c>
      <c r="B53" s="129" t="s">
        <v>80</v>
      </c>
      <c r="C53" s="297" t="s">
        <v>150</v>
      </c>
      <c r="D53" s="297" t="s">
        <v>251</v>
      </c>
      <c r="E53" s="545" t="s">
        <v>151</v>
      </c>
      <c r="F53" s="445">
        <v>50000000</v>
      </c>
      <c r="G53" s="445">
        <v>50000000</v>
      </c>
      <c r="H53" s="3">
        <v>42235</v>
      </c>
      <c r="I53" s="3">
        <f t="shared" si="3"/>
        <v>42270</v>
      </c>
      <c r="J53" s="368">
        <v>45000000</v>
      </c>
      <c r="K53" s="3">
        <f t="shared" si="4"/>
        <v>42385</v>
      </c>
      <c r="L53" s="81">
        <f>18387000+20000000+6613000</f>
        <v>45000000</v>
      </c>
      <c r="M53" s="589">
        <f t="shared" si="5"/>
        <v>0</v>
      </c>
      <c r="N53" s="460">
        <v>42530</v>
      </c>
      <c r="O53" s="581">
        <v>4583</v>
      </c>
      <c r="P53" s="356">
        <v>4589</v>
      </c>
      <c r="Q53" s="1">
        <v>4653</v>
      </c>
    </row>
    <row r="54" spans="1:20" s="1" customFormat="1">
      <c r="A54" s="36">
        <v>4512</v>
      </c>
      <c r="B54" s="129" t="s">
        <v>80</v>
      </c>
      <c r="C54" s="297" t="s">
        <v>79</v>
      </c>
      <c r="D54" s="297" t="s">
        <v>252</v>
      </c>
      <c r="E54" s="545" t="s">
        <v>151</v>
      </c>
      <c r="F54" s="445">
        <v>41000000</v>
      </c>
      <c r="G54" s="445">
        <v>41000000</v>
      </c>
      <c r="H54" s="3">
        <v>42235</v>
      </c>
      <c r="I54" s="3">
        <f t="shared" si="3"/>
        <v>42270</v>
      </c>
      <c r="J54" s="445">
        <v>41000000</v>
      </c>
      <c r="K54" s="3">
        <f t="shared" si="4"/>
        <v>42385</v>
      </c>
      <c r="L54" s="81">
        <f>23000000+18000000</f>
        <v>41000000</v>
      </c>
      <c r="M54" s="589">
        <f t="shared" si="5"/>
        <v>0</v>
      </c>
      <c r="N54" s="3">
        <v>42538</v>
      </c>
      <c r="O54" s="583">
        <v>4581</v>
      </c>
      <c r="P54" s="1">
        <v>4609</v>
      </c>
    </row>
    <row r="55" spans="1:20" s="558" customFormat="1">
      <c r="A55" s="552">
        <v>4515</v>
      </c>
      <c r="B55" s="553" t="s">
        <v>80</v>
      </c>
      <c r="C55" s="554" t="s">
        <v>184</v>
      </c>
      <c r="D55" s="554" t="s">
        <v>264</v>
      </c>
      <c r="E55" s="555" t="s">
        <v>211</v>
      </c>
      <c r="F55" s="476">
        <v>40000000</v>
      </c>
      <c r="G55" s="476">
        <v>40000000</v>
      </c>
      <c r="H55" s="556">
        <v>42235</v>
      </c>
      <c r="I55" s="556">
        <f>H55+35</f>
        <v>42270</v>
      </c>
      <c r="J55" s="476">
        <v>8300000</v>
      </c>
      <c r="K55" s="556">
        <f>H55+150</f>
        <v>42385</v>
      </c>
      <c r="L55" s="81">
        <f>5122000+3178000</f>
        <v>8300000</v>
      </c>
      <c r="M55" s="661">
        <f t="shared" si="5"/>
        <v>0</v>
      </c>
      <c r="N55" s="557" t="s">
        <v>333</v>
      </c>
      <c r="O55" s="586">
        <v>4561</v>
      </c>
      <c r="P55" s="558">
        <v>4615</v>
      </c>
    </row>
    <row r="56" spans="1:20" s="1" customFormat="1">
      <c r="A56" s="36">
        <v>4518</v>
      </c>
      <c r="B56" s="129" t="s">
        <v>86</v>
      </c>
      <c r="C56" s="297" t="s">
        <v>260</v>
      </c>
      <c r="D56" s="297" t="s">
        <v>257</v>
      </c>
      <c r="E56" s="545" t="s">
        <v>83</v>
      </c>
      <c r="F56" s="445">
        <v>10000000</v>
      </c>
      <c r="G56" s="445">
        <v>10000000</v>
      </c>
      <c r="H56" s="3">
        <v>42251</v>
      </c>
      <c r="I56" s="262">
        <f>H56+35</f>
        <v>42286</v>
      </c>
      <c r="J56" s="445">
        <v>10000000</v>
      </c>
      <c r="K56" s="3">
        <f>H56+150</f>
        <v>42401</v>
      </c>
      <c r="L56" s="101">
        <v>10000000</v>
      </c>
      <c r="M56" s="589">
        <f t="shared" si="5"/>
        <v>0</v>
      </c>
      <c r="N56" s="460">
        <v>42399</v>
      </c>
      <c r="O56" s="581"/>
    </row>
    <row r="57" spans="1:20" s="1" customFormat="1">
      <c r="A57" s="36">
        <v>4519</v>
      </c>
      <c r="B57" s="129" t="s">
        <v>80</v>
      </c>
      <c r="C57" s="297" t="s">
        <v>81</v>
      </c>
      <c r="D57" s="297" t="s">
        <v>263</v>
      </c>
      <c r="E57" s="545" t="s">
        <v>82</v>
      </c>
      <c r="F57" s="445">
        <v>15000000</v>
      </c>
      <c r="G57" s="445">
        <v>15000000</v>
      </c>
      <c r="H57" s="3">
        <v>42251</v>
      </c>
      <c r="I57" s="262">
        <f>H57+35</f>
        <v>42286</v>
      </c>
      <c r="J57" s="445">
        <v>15000000</v>
      </c>
      <c r="K57" s="3">
        <f>H57+150</f>
        <v>42401</v>
      </c>
      <c r="L57" s="101">
        <v>15000000</v>
      </c>
      <c r="M57" s="589">
        <f t="shared" si="5"/>
        <v>0</v>
      </c>
      <c r="N57" s="460">
        <v>42721</v>
      </c>
      <c r="O57" s="581">
        <v>4658</v>
      </c>
    </row>
    <row r="58" spans="1:20" s="1" customFormat="1">
      <c r="A58" s="36">
        <v>4521</v>
      </c>
      <c r="B58" s="129" t="s">
        <v>80</v>
      </c>
      <c r="C58" s="297" t="s">
        <v>219</v>
      </c>
      <c r="D58" s="297" t="s">
        <v>255</v>
      </c>
      <c r="E58" s="545" t="s">
        <v>256</v>
      </c>
      <c r="F58" s="445">
        <v>34000000</v>
      </c>
      <c r="G58" s="445">
        <v>34000000</v>
      </c>
      <c r="H58" s="3">
        <v>42265</v>
      </c>
      <c r="I58" s="3">
        <f t="shared" si="3"/>
        <v>42300</v>
      </c>
      <c r="J58" s="445">
        <v>34000000</v>
      </c>
      <c r="K58" s="3">
        <f t="shared" si="4"/>
        <v>42415</v>
      </c>
      <c r="L58" s="589">
        <v>34000000</v>
      </c>
      <c r="M58" s="589">
        <f t="shared" si="5"/>
        <v>0</v>
      </c>
      <c r="N58" s="1">
        <v>4569</v>
      </c>
      <c r="O58" s="583"/>
    </row>
    <row r="59" spans="1:20" s="558" customFormat="1">
      <c r="A59" s="552">
        <v>4522</v>
      </c>
      <c r="B59" s="553" t="s">
        <v>80</v>
      </c>
      <c r="C59" s="554" t="s">
        <v>89</v>
      </c>
      <c r="D59" s="554" t="s">
        <v>218</v>
      </c>
      <c r="E59" s="555" t="s">
        <v>151</v>
      </c>
      <c r="F59" s="476">
        <v>25000000</v>
      </c>
      <c r="G59" s="476">
        <v>25000000</v>
      </c>
      <c r="H59" s="556">
        <v>42266</v>
      </c>
      <c r="I59" s="566">
        <f>H59+35</f>
        <v>42301</v>
      </c>
      <c r="J59" s="476">
        <v>25000000</v>
      </c>
      <c r="K59" s="556">
        <f>H59+150</f>
        <v>42416</v>
      </c>
      <c r="L59" s="567">
        <v>0</v>
      </c>
      <c r="M59" s="662">
        <v>0</v>
      </c>
      <c r="N59" s="557" t="s">
        <v>333</v>
      </c>
      <c r="O59" s="587"/>
    </row>
    <row r="60" spans="1:20" s="1" customFormat="1">
      <c r="A60" s="36">
        <v>4523</v>
      </c>
      <c r="B60" s="129" t="s">
        <v>80</v>
      </c>
      <c r="C60" s="297" t="s">
        <v>202</v>
      </c>
      <c r="D60" s="297" t="s">
        <v>265</v>
      </c>
      <c r="E60" s="545" t="s">
        <v>85</v>
      </c>
      <c r="F60" s="445">
        <v>50000000</v>
      </c>
      <c r="G60" s="445">
        <v>50000000</v>
      </c>
      <c r="H60" s="3">
        <v>42273</v>
      </c>
      <c r="I60" s="3">
        <f t="shared" si="3"/>
        <v>42308</v>
      </c>
      <c r="J60" s="368">
        <v>50000000</v>
      </c>
      <c r="K60" s="3">
        <f t="shared" si="4"/>
        <v>42423</v>
      </c>
      <c r="L60" s="311">
        <f>33000000+17000000</f>
        <v>50000000</v>
      </c>
      <c r="M60" s="589">
        <f t="shared" si="5"/>
        <v>0</v>
      </c>
      <c r="N60" s="3">
        <v>42536</v>
      </c>
      <c r="O60" s="583">
        <v>4545</v>
      </c>
      <c r="P60" s="1">
        <v>4532</v>
      </c>
    </row>
    <row r="61" spans="1:20" s="1" customFormat="1">
      <c r="A61" s="36">
        <v>4524</v>
      </c>
      <c r="B61" s="129" t="s">
        <v>86</v>
      </c>
      <c r="C61" s="297" t="s">
        <v>150</v>
      </c>
      <c r="D61" s="297" t="s">
        <v>270</v>
      </c>
      <c r="E61" s="545" t="s">
        <v>83</v>
      </c>
      <c r="F61" s="445">
        <v>45000000</v>
      </c>
      <c r="G61" s="445">
        <v>45000000</v>
      </c>
      <c r="H61" s="3">
        <v>42273</v>
      </c>
      <c r="I61" s="3">
        <f t="shared" si="3"/>
        <v>42308</v>
      </c>
      <c r="J61" s="445">
        <v>45000000</v>
      </c>
      <c r="K61" s="3">
        <f t="shared" si="4"/>
        <v>42423</v>
      </c>
      <c r="L61" s="101">
        <v>45000000</v>
      </c>
      <c r="M61" s="589">
        <f>J61-L61</f>
        <v>0</v>
      </c>
      <c r="N61" s="460">
        <v>42423</v>
      </c>
      <c r="O61" s="581"/>
    </row>
    <row r="62" spans="1:20" s="1" customFormat="1">
      <c r="A62" s="36">
        <v>4526</v>
      </c>
      <c r="B62" s="129" t="s">
        <v>86</v>
      </c>
      <c r="C62" s="297" t="s">
        <v>260</v>
      </c>
      <c r="D62" s="297" t="s">
        <v>266</v>
      </c>
      <c r="E62" s="545" t="s">
        <v>83</v>
      </c>
      <c r="F62" s="445">
        <v>35000000</v>
      </c>
      <c r="G62" s="445">
        <v>35000000</v>
      </c>
      <c r="H62" s="3">
        <v>42273</v>
      </c>
      <c r="I62" s="3">
        <f t="shared" si="3"/>
        <v>42308</v>
      </c>
      <c r="J62" s="445">
        <v>35000000</v>
      </c>
      <c r="K62" s="3">
        <f t="shared" si="4"/>
        <v>42423</v>
      </c>
      <c r="L62" s="101">
        <v>35000000</v>
      </c>
      <c r="M62" s="589">
        <f>J62-L62</f>
        <v>0</v>
      </c>
      <c r="N62" s="460">
        <v>42399</v>
      </c>
      <c r="O62" s="581"/>
    </row>
    <row r="63" spans="1:20" s="558" customFormat="1">
      <c r="A63" s="552">
        <v>4528</v>
      </c>
      <c r="B63" s="553" t="s">
        <v>80</v>
      </c>
      <c r="C63" s="554" t="s">
        <v>157</v>
      </c>
      <c r="D63" s="554" t="s">
        <v>203</v>
      </c>
      <c r="E63" s="555" t="s">
        <v>88</v>
      </c>
      <c r="F63" s="476">
        <v>30000000</v>
      </c>
      <c r="G63" s="476">
        <v>30000000</v>
      </c>
      <c r="H63" s="556">
        <v>42291</v>
      </c>
      <c r="I63" s="566">
        <f>H63+35</f>
        <v>42326</v>
      </c>
      <c r="J63" s="476">
        <v>22000000</v>
      </c>
      <c r="K63" s="556">
        <f>H63+150</f>
        <v>42441</v>
      </c>
      <c r="L63" s="13">
        <v>16143638</v>
      </c>
      <c r="M63" s="589">
        <f>J63-L63</f>
        <v>5856362</v>
      </c>
      <c r="N63" s="631">
        <v>42648</v>
      </c>
      <c r="O63" s="587">
        <v>4640</v>
      </c>
    </row>
    <row r="64" spans="1:20" s="1" customFormat="1">
      <c r="A64" s="36"/>
      <c r="B64" s="129"/>
      <c r="C64" s="297"/>
      <c r="D64" s="297"/>
      <c r="E64" s="297"/>
      <c r="F64" s="101"/>
      <c r="G64" s="101"/>
      <c r="H64" s="3"/>
      <c r="I64" s="3"/>
      <c r="J64" s="13"/>
      <c r="K64" s="3"/>
      <c r="L64" s="311"/>
      <c r="M64" s="311"/>
      <c r="O64" s="583"/>
    </row>
    <row r="65" spans="1:15" s="1" customFormat="1">
      <c r="A65" s="36"/>
      <c r="B65" s="129"/>
      <c r="C65" s="297"/>
      <c r="D65" s="297"/>
      <c r="E65" s="297"/>
      <c r="F65" s="101"/>
      <c r="G65" s="101"/>
      <c r="H65" s="3"/>
      <c r="I65" s="3"/>
      <c r="J65" s="108">
        <f>SUM(J44:J64)</f>
        <v>482420000</v>
      </c>
      <c r="K65" s="8"/>
      <c r="L65" s="108">
        <f>SUM(L44:L64)</f>
        <v>451563638</v>
      </c>
      <c r="M65" s="108">
        <f>SUM(M44:M64)</f>
        <v>5856362</v>
      </c>
      <c r="O65" s="583"/>
    </row>
    <row r="66" spans="1:15">
      <c r="F66" s="392"/>
      <c r="G66" s="392"/>
      <c r="H66" s="392"/>
      <c r="I66" s="392"/>
      <c r="J66" s="392"/>
      <c r="K66" s="392"/>
      <c r="L66" s="421"/>
      <c r="M66" s="421"/>
    </row>
    <row r="67" spans="1:15">
      <c r="A67" s="432" t="s">
        <v>63</v>
      </c>
      <c r="F67" s="392"/>
      <c r="G67" s="410"/>
      <c r="H67" s="316"/>
      <c r="I67" s="392"/>
      <c r="J67" s="392"/>
      <c r="K67" s="392"/>
    </row>
    <row r="68" spans="1:15" s="1" customFormat="1">
      <c r="A68" s="36">
        <v>4529</v>
      </c>
      <c r="B68" s="129" t="s">
        <v>80</v>
      </c>
      <c r="C68" s="297" t="s">
        <v>90</v>
      </c>
      <c r="D68" s="297" t="s">
        <v>274</v>
      </c>
      <c r="E68" s="297" t="s">
        <v>259</v>
      </c>
      <c r="F68" s="410">
        <v>300000000</v>
      </c>
      <c r="G68" s="410">
        <v>94030000</v>
      </c>
      <c r="H68" s="316">
        <v>42322</v>
      </c>
      <c r="I68" s="316">
        <f>H68+35</f>
        <v>42357</v>
      </c>
      <c r="J68" s="410">
        <v>94030000</v>
      </c>
      <c r="K68" s="316">
        <f>H68+120</f>
        <v>42442</v>
      </c>
      <c r="L68" s="2">
        <f>50400000+43630000</f>
        <v>94030000</v>
      </c>
      <c r="M68" s="101">
        <f>J68-L68</f>
        <v>0</v>
      </c>
      <c r="N68" s="460">
        <v>42518</v>
      </c>
      <c r="O68" s="581" t="s">
        <v>466</v>
      </c>
    </row>
    <row r="70" spans="1:15">
      <c r="I70" s="433"/>
      <c r="J70" s="108">
        <f>SUM(J68:J69)</f>
        <v>94030000</v>
      </c>
      <c r="K70" s="394"/>
      <c r="L70" s="108">
        <f>SUM(L68:L69)</f>
        <v>94030000</v>
      </c>
      <c r="M70" s="108">
        <f>SUM(M68:M69)</f>
        <v>0</v>
      </c>
    </row>
    <row r="71" spans="1:15">
      <c r="I71" s="433"/>
    </row>
    <row r="73" spans="1:15">
      <c r="H73" s="3"/>
    </row>
    <row r="76" spans="1:15" ht="12.75" thickBot="1">
      <c r="M76" s="591">
        <f>M70+M65+M40+M18</f>
        <v>837424700.89999998</v>
      </c>
    </row>
    <row r="77" spans="1:15" ht="12.75" thickTop="1"/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10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defaultColWidth="9" defaultRowHeight="12"/>
  <cols>
    <col min="1" max="1" width="24" bestFit="1" customWidth="1"/>
    <col min="2" max="2" width="18" customWidth="1"/>
    <col min="3" max="3" width="15.85546875" bestFit="1" customWidth="1"/>
    <col min="4" max="4" width="15.140625" customWidth="1"/>
    <col min="5" max="6" width="15.5703125" bestFit="1" customWidth="1"/>
    <col min="7" max="9" width="14.5703125" bestFit="1" customWidth="1"/>
    <col min="10" max="12" width="17.42578125" bestFit="1" customWidth="1"/>
    <col min="13" max="14" width="15.140625" bestFit="1" customWidth="1"/>
    <col min="15" max="15" width="14.5703125" bestFit="1" customWidth="1"/>
    <col min="16" max="21" width="12.85546875" bestFit="1" customWidth="1"/>
  </cols>
  <sheetData>
    <row r="1" spans="1:21">
      <c r="B1" s="5">
        <v>2020</v>
      </c>
      <c r="C1" s="5">
        <v>2019</v>
      </c>
      <c r="D1" s="5">
        <v>2018</v>
      </c>
      <c r="E1" s="5">
        <v>2017</v>
      </c>
      <c r="F1" s="5">
        <v>2016</v>
      </c>
      <c r="G1" s="5">
        <v>2015</v>
      </c>
      <c r="H1" s="5">
        <v>2014</v>
      </c>
      <c r="I1" s="5">
        <v>2013</v>
      </c>
      <c r="J1" s="5">
        <v>2012</v>
      </c>
      <c r="K1" s="5">
        <v>2011</v>
      </c>
      <c r="L1" s="5">
        <v>2010</v>
      </c>
      <c r="M1" s="484">
        <v>2009</v>
      </c>
      <c r="N1" s="484">
        <v>2008</v>
      </c>
      <c r="O1" s="484">
        <v>2007</v>
      </c>
      <c r="P1" s="484">
        <v>2006</v>
      </c>
      <c r="Q1" s="484">
        <v>2005</v>
      </c>
      <c r="R1" s="484">
        <v>2004</v>
      </c>
      <c r="S1" s="484">
        <v>2003</v>
      </c>
      <c r="T1" s="484" t="s">
        <v>138</v>
      </c>
      <c r="U1" s="484" t="s">
        <v>139</v>
      </c>
    </row>
    <row r="2" spans="1:21" ht="12.75" thickBot="1">
      <c r="B2" s="5" t="s">
        <v>108</v>
      </c>
      <c r="C2" s="5" t="s">
        <v>108</v>
      </c>
      <c r="D2" s="5" t="s">
        <v>108</v>
      </c>
      <c r="E2" s="5" t="s">
        <v>108</v>
      </c>
      <c r="F2" s="5" t="s">
        <v>108</v>
      </c>
      <c r="G2" s="5" t="s">
        <v>108</v>
      </c>
      <c r="H2" s="5" t="s">
        <v>108</v>
      </c>
      <c r="I2" s="5" t="s">
        <v>108</v>
      </c>
      <c r="J2" s="5" t="s">
        <v>108</v>
      </c>
      <c r="K2" s="5" t="s">
        <v>108</v>
      </c>
      <c r="L2" s="5" t="s">
        <v>108</v>
      </c>
      <c r="M2" s="485" t="s">
        <v>108</v>
      </c>
      <c r="N2" s="485" t="s">
        <v>108</v>
      </c>
      <c r="O2" s="98" t="s">
        <v>108</v>
      </c>
      <c r="P2" s="485" t="s">
        <v>108</v>
      </c>
      <c r="Q2" s="485" t="s">
        <v>108</v>
      </c>
      <c r="R2" s="485" t="s">
        <v>108</v>
      </c>
      <c r="S2" s="485" t="s">
        <v>108</v>
      </c>
    </row>
    <row r="3" spans="1:21">
      <c r="A3" s="486" t="s">
        <v>109</v>
      </c>
      <c r="B3" s="544">
        <f>Totals!B8</f>
        <v>3044567505</v>
      </c>
      <c r="C3" s="487">
        <v>3013693725</v>
      </c>
      <c r="D3" s="487">
        <v>2971982580</v>
      </c>
      <c r="E3" s="487">
        <v>2786259600</v>
      </c>
      <c r="F3" s="488">
        <v>2746911400</v>
      </c>
      <c r="G3" s="488">
        <v>2695695800</v>
      </c>
      <c r="H3" s="489">
        <v>2644819300</v>
      </c>
      <c r="I3" s="488">
        <v>2475624285</v>
      </c>
      <c r="J3" s="490">
        <v>2439094695</v>
      </c>
      <c r="K3" s="490">
        <v>2388828295</v>
      </c>
      <c r="L3" s="491">
        <v>2230407180</v>
      </c>
      <c r="M3" s="487">
        <v>2189427660</v>
      </c>
      <c r="N3" s="487">
        <v>2031872300</v>
      </c>
      <c r="O3" s="492">
        <v>1998161555</v>
      </c>
      <c r="P3" s="233">
        <v>1828797440</v>
      </c>
      <c r="Q3" s="493">
        <v>1799201760</v>
      </c>
      <c r="R3" s="493">
        <v>1769480721</v>
      </c>
      <c r="S3" s="494">
        <v>1633491975</v>
      </c>
      <c r="T3" s="233">
        <v>1599376350</v>
      </c>
      <c r="U3" s="495">
        <v>1303238750</v>
      </c>
    </row>
    <row r="4" spans="1:21">
      <c r="A4" s="496" t="s">
        <v>110</v>
      </c>
      <c r="B4" s="140">
        <f>SUM(C44:C47)</f>
        <v>3375990905.0444999</v>
      </c>
      <c r="C4" s="140">
        <v>3859636297.79</v>
      </c>
      <c r="D4" s="140">
        <v>3309406951.9200001</v>
      </c>
      <c r="E4" s="140">
        <v>4848200159.04</v>
      </c>
      <c r="F4" s="140">
        <v>3814503629.1999998</v>
      </c>
      <c r="G4" s="497">
        <v>3765710513</v>
      </c>
      <c r="H4" s="140">
        <v>2632133224.8000002</v>
      </c>
      <c r="I4" s="140">
        <v>2242234046.5999999</v>
      </c>
      <c r="J4" s="498">
        <v>2951305638.4499998</v>
      </c>
      <c r="K4" s="498">
        <v>3300803953.3000002</v>
      </c>
      <c r="L4" s="499">
        <v>3176726243.5500002</v>
      </c>
      <c r="M4" s="140">
        <v>2279707954.3499999</v>
      </c>
      <c r="N4" s="140">
        <v>729155910.35000002</v>
      </c>
      <c r="O4" s="500">
        <v>707913757.5</v>
      </c>
      <c r="P4" s="500">
        <v>940721729</v>
      </c>
      <c r="Q4" s="500">
        <v>799457756.54999995</v>
      </c>
      <c r="R4" s="353">
        <v>385204031</v>
      </c>
      <c r="S4" s="501">
        <v>192694519</v>
      </c>
      <c r="T4" s="113">
        <v>63200000</v>
      </c>
      <c r="U4" s="502">
        <v>19066155</v>
      </c>
    </row>
    <row r="5" spans="1:21" ht="12.75" thickBot="1">
      <c r="A5" s="503" t="s">
        <v>111</v>
      </c>
      <c r="B5" s="668">
        <f>SUM(B3:B4)</f>
        <v>6420558410.0445004</v>
      </c>
      <c r="C5" s="504">
        <v>6873330022.79</v>
      </c>
      <c r="D5" s="504">
        <v>6281389531.9200001</v>
      </c>
      <c r="E5" s="504">
        <v>7634459759.04</v>
      </c>
      <c r="F5" s="505">
        <v>6561415029.1999998</v>
      </c>
      <c r="G5" s="506">
        <v>6461406313</v>
      </c>
      <c r="H5" s="506">
        <v>5276952524.8000002</v>
      </c>
      <c r="I5" s="506">
        <v>4717858331.6000004</v>
      </c>
      <c r="J5" s="507">
        <v>5390400333.4499998</v>
      </c>
      <c r="K5" s="507">
        <v>5689632248.3000002</v>
      </c>
      <c r="L5" s="507">
        <v>5407133423.5500002</v>
      </c>
      <c r="M5" s="508">
        <v>4469135614.3500004</v>
      </c>
      <c r="N5" s="509">
        <v>2761028210.3499999</v>
      </c>
      <c r="O5" s="510">
        <v>2706075312.5</v>
      </c>
      <c r="P5" s="510">
        <v>2769519169</v>
      </c>
      <c r="Q5" s="510">
        <v>2598659516.5500002</v>
      </c>
      <c r="R5" s="510">
        <v>2154684752</v>
      </c>
      <c r="S5" s="511">
        <v>1826186494</v>
      </c>
      <c r="T5" s="510">
        <v>1662576350</v>
      </c>
      <c r="U5" s="511">
        <v>1322304905</v>
      </c>
    </row>
    <row r="6" spans="1:21">
      <c r="A6" s="496"/>
      <c r="B6" s="101"/>
      <c r="C6" s="144"/>
      <c r="D6" s="144"/>
      <c r="E6" s="144"/>
      <c r="F6" s="144"/>
      <c r="G6" s="512"/>
      <c r="H6" s="513"/>
      <c r="I6" s="513"/>
      <c r="J6" s="144"/>
      <c r="K6" s="144"/>
      <c r="L6" s="144"/>
      <c r="M6" s="144"/>
      <c r="N6" s="144"/>
      <c r="O6" s="140"/>
      <c r="P6" s="140"/>
      <c r="Q6" s="353"/>
      <c r="R6" s="353"/>
      <c r="S6" s="501"/>
      <c r="T6" s="113"/>
      <c r="U6" s="514"/>
    </row>
    <row r="7" spans="1:21" ht="12.75" thickBot="1">
      <c r="A7" s="503"/>
      <c r="B7" s="64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05"/>
      <c r="P7" s="505"/>
      <c r="Q7" s="516"/>
      <c r="R7" s="516"/>
      <c r="S7" s="517"/>
      <c r="T7" s="113"/>
      <c r="U7" s="514"/>
    </row>
    <row r="8" spans="1:21">
      <c r="A8" s="348" t="s">
        <v>112</v>
      </c>
      <c r="B8" s="401">
        <v>0</v>
      </c>
      <c r="C8" s="349"/>
      <c r="D8" s="349">
        <v>0</v>
      </c>
      <c r="E8" s="500">
        <v>0</v>
      </c>
      <c r="F8" s="500">
        <v>0</v>
      </c>
      <c r="G8" s="500">
        <v>0</v>
      </c>
      <c r="H8" s="500">
        <v>0</v>
      </c>
      <c r="I8" s="500">
        <v>0</v>
      </c>
      <c r="J8" s="500">
        <v>0</v>
      </c>
      <c r="K8" s="500">
        <v>10842500</v>
      </c>
      <c r="L8" s="140">
        <v>0</v>
      </c>
      <c r="M8" s="499"/>
      <c r="N8" s="500">
        <v>0</v>
      </c>
      <c r="O8" s="500">
        <v>491236593.5</v>
      </c>
      <c r="P8" s="500">
        <v>467057690.5</v>
      </c>
      <c r="Q8" s="353">
        <v>75815311</v>
      </c>
      <c r="R8" s="353">
        <v>303875370</v>
      </c>
      <c r="S8" s="501">
        <v>166861717</v>
      </c>
      <c r="T8" s="113">
        <v>453396662</v>
      </c>
      <c r="U8" s="514">
        <v>418475905</v>
      </c>
    </row>
    <row r="9" spans="1:21">
      <c r="A9" s="518" t="s">
        <v>113</v>
      </c>
      <c r="B9" s="500">
        <f>'2019 CF'!P31+'2019 CF'!O32</f>
        <v>184997155</v>
      </c>
      <c r="C9" s="241"/>
      <c r="D9" s="241"/>
      <c r="E9" s="300"/>
      <c r="F9" s="300">
        <v>31510000</v>
      </c>
      <c r="G9" s="300">
        <v>19870000</v>
      </c>
      <c r="H9" s="300">
        <v>0</v>
      </c>
      <c r="I9" s="300">
        <v>0</v>
      </c>
      <c r="J9" s="500">
        <v>78070000</v>
      </c>
      <c r="K9" s="500">
        <v>562402275</v>
      </c>
      <c r="L9" s="500">
        <v>0</v>
      </c>
      <c r="M9" s="500">
        <v>51276200</v>
      </c>
      <c r="N9" s="500"/>
      <c r="O9" s="500">
        <v>76750929</v>
      </c>
      <c r="P9" s="500">
        <v>34450000</v>
      </c>
      <c r="Q9" s="353">
        <v>0</v>
      </c>
      <c r="R9" s="353">
        <v>0</v>
      </c>
      <c r="S9" s="501">
        <v>10450000</v>
      </c>
      <c r="T9" s="113">
        <v>0</v>
      </c>
      <c r="U9" s="514">
        <v>0</v>
      </c>
    </row>
    <row r="10" spans="1:21">
      <c r="A10" s="518" t="s">
        <v>114</v>
      </c>
      <c r="B10" s="389">
        <v>0</v>
      </c>
      <c r="C10" s="241"/>
      <c r="D10" s="241"/>
      <c r="E10" s="300">
        <v>0</v>
      </c>
      <c r="F10" s="300">
        <v>0</v>
      </c>
      <c r="G10" s="300">
        <v>0</v>
      </c>
      <c r="H10" s="300">
        <v>0</v>
      </c>
      <c r="I10" s="300">
        <v>0</v>
      </c>
      <c r="J10" s="500">
        <v>0</v>
      </c>
      <c r="K10" s="500">
        <v>0</v>
      </c>
      <c r="L10" s="500">
        <v>0</v>
      </c>
      <c r="M10" s="500">
        <v>30000000</v>
      </c>
      <c r="N10" s="500"/>
      <c r="O10" s="500"/>
      <c r="P10" s="500"/>
      <c r="Q10" s="353"/>
      <c r="R10" s="353"/>
      <c r="S10" s="501"/>
      <c r="T10" s="113"/>
      <c r="U10" s="514"/>
    </row>
    <row r="11" spans="1:21">
      <c r="A11" s="348" t="s">
        <v>115</v>
      </c>
      <c r="B11" s="401">
        <v>0</v>
      </c>
      <c r="C11" s="349">
        <v>10153000</v>
      </c>
      <c r="D11" s="349">
        <v>15000000</v>
      </c>
      <c r="E11" s="140">
        <v>918015268.89999998</v>
      </c>
      <c r="F11" s="140">
        <v>260068279.56</v>
      </c>
      <c r="G11" s="349">
        <v>57500000</v>
      </c>
      <c r="H11" s="350">
        <v>31266000</v>
      </c>
      <c r="I11" s="349">
        <v>335757940</v>
      </c>
      <c r="J11" s="500">
        <v>228831078</v>
      </c>
      <c r="K11" s="500">
        <v>95000000</v>
      </c>
      <c r="L11" s="140">
        <v>66142544</v>
      </c>
      <c r="M11" s="140">
        <v>54664820</v>
      </c>
      <c r="N11" s="500">
        <v>99000000</v>
      </c>
      <c r="O11" s="500">
        <v>59300014</v>
      </c>
      <c r="P11" s="500">
        <v>104136159</v>
      </c>
      <c r="Q11" s="353">
        <v>197530000</v>
      </c>
      <c r="R11" s="353">
        <v>48528775</v>
      </c>
      <c r="S11" s="501">
        <v>94209746</v>
      </c>
      <c r="T11" s="113">
        <v>0</v>
      </c>
      <c r="U11" s="514">
        <v>0</v>
      </c>
    </row>
    <row r="12" spans="1:21">
      <c r="A12" s="518" t="s">
        <v>113</v>
      </c>
      <c r="B12" s="500">
        <f>'2018 CF'!L31+'2019 CF'!L40-B9</f>
        <v>1214999246.9245</v>
      </c>
      <c r="C12" s="500">
        <v>1818210608.55</v>
      </c>
      <c r="D12" s="500">
        <v>713413832.36000001</v>
      </c>
      <c r="E12" s="300">
        <v>2111916905.6700001</v>
      </c>
      <c r="F12" s="300">
        <v>50000000</v>
      </c>
      <c r="G12" s="300">
        <v>1224590213</v>
      </c>
      <c r="H12" s="354">
        <v>695266000</v>
      </c>
      <c r="I12" s="300">
        <v>340000000</v>
      </c>
      <c r="J12" s="500">
        <v>455105100</v>
      </c>
      <c r="K12" s="500">
        <v>249003434</v>
      </c>
      <c r="L12" s="300">
        <v>333000000</v>
      </c>
      <c r="M12" s="500">
        <v>190356000</v>
      </c>
      <c r="N12" s="500">
        <v>35240000</v>
      </c>
      <c r="O12" s="500">
        <v>0</v>
      </c>
      <c r="P12" s="500">
        <v>12629000</v>
      </c>
      <c r="Q12" s="353">
        <v>0</v>
      </c>
      <c r="R12" s="353">
        <v>0</v>
      </c>
      <c r="S12" s="501">
        <v>0</v>
      </c>
      <c r="T12" s="113">
        <v>0</v>
      </c>
      <c r="U12" s="514">
        <v>0</v>
      </c>
    </row>
    <row r="13" spans="1:21">
      <c r="A13" s="518" t="s">
        <v>114</v>
      </c>
      <c r="B13" s="389">
        <v>0</v>
      </c>
      <c r="C13" s="241"/>
      <c r="D13" s="241"/>
      <c r="E13" s="300">
        <v>0</v>
      </c>
      <c r="F13" s="300"/>
      <c r="G13" s="300">
        <v>0</v>
      </c>
      <c r="H13" s="300">
        <v>0</v>
      </c>
      <c r="I13" s="300">
        <v>0</v>
      </c>
      <c r="J13" s="500">
        <v>0</v>
      </c>
      <c r="K13" s="500">
        <v>0</v>
      </c>
      <c r="L13" s="500">
        <v>398500000</v>
      </c>
      <c r="M13" s="500">
        <v>235800000</v>
      </c>
      <c r="N13" s="500"/>
      <c r="O13" s="500"/>
      <c r="P13" s="500"/>
      <c r="Q13" s="353"/>
      <c r="R13" s="353"/>
      <c r="S13" s="501"/>
      <c r="T13" s="113"/>
      <c r="U13" s="514"/>
    </row>
    <row r="14" spans="1:21">
      <c r="A14" s="348" t="s">
        <v>116</v>
      </c>
      <c r="B14" s="592">
        <f>'SC4 TSAHC'!L19+'SC4 MF- TDHCA'!L29+'SC4 MF- Local Collapse'!L44+'REGION 1'!L9+'REGION 2'!L8+'REGION 3'!L15+'REGION 4'!L8+'REGION 5'!L8+'REGION 6'!L16+'REGION 7'!L16+'REGION 8'!L8+'REGION 9'!L14+'REGION 10'!L8+'REGION 11'!L8+'REGION 12'!L9+'REGION 13'!L8+'SC5 OTHER'!L7+'SC5 OTHER'!L8+'SC5 OTHER'!L9+'SC5 OTHER'!L14+'SC5 OTHER'!L17+'SC5 OTHER'!L26+'SC5 OTHER'!L37+'SC5 OTHER'!L38+'SC5 OTHER'!L41+'SC5 OTHER'!L44+'SC5 OTHER'!L46+'SC5 OTHER'!L48+'SC5 OTHER'!L57+'SC5 OTHER'!L59+'SC5 OTHER'!L60+'Aug 15'!N9+'Aug 15'!N14+'Aug 15'!N16+'Aug 15'!N19+'Aug 15'!N17</f>
        <v>989721000</v>
      </c>
      <c r="C14" s="349">
        <v>381157999</v>
      </c>
      <c r="D14" s="349">
        <v>225577000</v>
      </c>
      <c r="E14" s="349">
        <v>118240400</v>
      </c>
      <c r="F14" s="349">
        <v>225357000</v>
      </c>
      <c r="G14" s="349">
        <v>144676500</v>
      </c>
      <c r="H14" s="350">
        <v>80945000</v>
      </c>
      <c r="I14" s="349">
        <v>72480000</v>
      </c>
      <c r="J14" s="500">
        <v>90325000</v>
      </c>
      <c r="K14" s="500">
        <v>7250000</v>
      </c>
      <c r="L14" s="140">
        <v>5275000</v>
      </c>
      <c r="M14" s="140">
        <v>0</v>
      </c>
      <c r="N14" s="500">
        <v>38530714</v>
      </c>
      <c r="O14" s="500">
        <v>266479282</v>
      </c>
      <c r="P14" s="500">
        <v>101592000</v>
      </c>
      <c r="Q14" s="353">
        <v>108950000</v>
      </c>
      <c r="R14" s="353">
        <v>384700000</v>
      </c>
      <c r="S14" s="502">
        <v>388626000</v>
      </c>
      <c r="T14" s="113">
        <v>365185169</v>
      </c>
      <c r="U14" s="514">
        <v>319584000</v>
      </c>
    </row>
    <row r="15" spans="1:21">
      <c r="A15" s="518" t="s">
        <v>113</v>
      </c>
      <c r="B15" s="500">
        <f>'2019 CF'!L65+'2019 CF'!L18+'2018 CF'!L48+'2018 CF'!L14+'2017 CF'!L12</f>
        <v>606871000</v>
      </c>
      <c r="C15" s="500">
        <v>663385001</v>
      </c>
      <c r="D15" s="500">
        <v>554545900</v>
      </c>
      <c r="E15" s="300">
        <v>482831600</v>
      </c>
      <c r="F15" s="300">
        <v>353473500</v>
      </c>
      <c r="G15" s="300">
        <v>352830000</v>
      </c>
      <c r="H15" s="354">
        <v>116150000</v>
      </c>
      <c r="I15" s="300">
        <v>100725000</v>
      </c>
      <c r="J15" s="500">
        <v>20100000</v>
      </c>
      <c r="K15" s="500">
        <v>62625000</v>
      </c>
      <c r="L15" s="300">
        <v>31050000</v>
      </c>
      <c r="M15" s="349">
        <v>28690000</v>
      </c>
      <c r="N15" s="500">
        <v>86135000</v>
      </c>
      <c r="O15" s="500">
        <v>101789718</v>
      </c>
      <c r="P15" s="500">
        <v>329745562</v>
      </c>
      <c r="Q15" s="353">
        <v>428150000</v>
      </c>
      <c r="R15" s="353">
        <v>97550000</v>
      </c>
      <c r="S15" s="501">
        <v>123550000</v>
      </c>
      <c r="T15" s="353">
        <v>0</v>
      </c>
      <c r="U15" s="519">
        <v>0</v>
      </c>
    </row>
    <row r="16" spans="1:21">
      <c r="A16" s="518" t="s">
        <v>114</v>
      </c>
      <c r="B16" s="389">
        <v>0</v>
      </c>
      <c r="C16" s="241"/>
      <c r="D16" s="241"/>
      <c r="E16" s="300">
        <v>0</v>
      </c>
      <c r="F16" s="300"/>
      <c r="G16" s="300">
        <v>0</v>
      </c>
      <c r="H16" s="300">
        <v>0</v>
      </c>
      <c r="I16" s="300">
        <v>0</v>
      </c>
      <c r="J16" s="500">
        <v>0</v>
      </c>
      <c r="K16" s="500">
        <v>0</v>
      </c>
      <c r="L16" s="500">
        <v>0</v>
      </c>
      <c r="M16" s="300">
        <v>15700000</v>
      </c>
      <c r="N16" s="500"/>
      <c r="O16" s="500"/>
      <c r="P16" s="500"/>
      <c r="Q16" s="353"/>
      <c r="R16" s="353"/>
      <c r="S16" s="501"/>
      <c r="T16" s="353"/>
      <c r="U16" s="519"/>
    </row>
    <row r="17" spans="1:21">
      <c r="A17" s="496" t="s">
        <v>117</v>
      </c>
      <c r="B17" s="144"/>
      <c r="C17" s="144"/>
      <c r="D17" s="144"/>
      <c r="E17" s="300">
        <v>0</v>
      </c>
      <c r="F17" s="300">
        <v>0</v>
      </c>
      <c r="G17" s="300">
        <v>0</v>
      </c>
      <c r="H17" s="300">
        <v>0</v>
      </c>
      <c r="I17" s="300">
        <v>0</v>
      </c>
      <c r="J17" s="500">
        <v>0</v>
      </c>
      <c r="K17" s="500">
        <v>0</v>
      </c>
      <c r="L17" s="140">
        <v>0</v>
      </c>
      <c r="M17" s="140"/>
      <c r="N17" s="500"/>
      <c r="O17" s="140">
        <v>0</v>
      </c>
      <c r="P17" s="140">
        <v>0</v>
      </c>
      <c r="Q17" s="353">
        <v>0</v>
      </c>
      <c r="R17" s="353">
        <v>0</v>
      </c>
      <c r="S17" s="501">
        <v>0</v>
      </c>
      <c r="T17" s="353">
        <v>0</v>
      </c>
      <c r="U17" s="519">
        <v>0</v>
      </c>
    </row>
    <row r="18" spans="1:21">
      <c r="A18" s="348" t="s">
        <v>3</v>
      </c>
      <c r="B18" s="349">
        <f>'SC3 Small Issue IDBs'!L11</f>
        <v>0</v>
      </c>
      <c r="C18" s="349">
        <v>20000000</v>
      </c>
      <c r="D18" s="395"/>
      <c r="E18" s="351">
        <v>8600000</v>
      </c>
      <c r="F18" s="351">
        <v>10000000</v>
      </c>
      <c r="G18" s="350"/>
      <c r="H18" s="350">
        <v>3650000</v>
      </c>
      <c r="I18" s="349">
        <v>1897830</v>
      </c>
      <c r="J18" s="500">
        <v>10000000</v>
      </c>
      <c r="K18" s="500">
        <v>13300000</v>
      </c>
      <c r="L18" s="140">
        <v>3440000</v>
      </c>
      <c r="M18" s="140">
        <v>16043250</v>
      </c>
      <c r="N18" s="500">
        <v>40869207</v>
      </c>
      <c r="O18" s="500">
        <v>19402500</v>
      </c>
      <c r="P18" s="140">
        <v>0</v>
      </c>
      <c r="Q18" s="353">
        <v>4225000</v>
      </c>
      <c r="R18" s="353">
        <v>10000000</v>
      </c>
      <c r="S18" s="501">
        <v>3700000</v>
      </c>
      <c r="T18" s="353">
        <v>0</v>
      </c>
      <c r="U18" s="519">
        <v>0</v>
      </c>
    </row>
    <row r="19" spans="1:21">
      <c r="A19" s="518" t="s">
        <v>113</v>
      </c>
      <c r="B19" s="300">
        <v>0</v>
      </c>
      <c r="C19" s="241"/>
      <c r="D19" s="241"/>
      <c r="E19" s="300">
        <v>0</v>
      </c>
      <c r="F19" s="300">
        <v>0</v>
      </c>
      <c r="G19" s="300"/>
      <c r="H19" s="300">
        <v>0</v>
      </c>
      <c r="I19" s="300">
        <v>0</v>
      </c>
      <c r="J19" s="500">
        <v>0</v>
      </c>
      <c r="K19" s="500">
        <v>0</v>
      </c>
      <c r="L19" s="500">
        <v>0</v>
      </c>
      <c r="M19" s="140"/>
      <c r="N19" s="500"/>
      <c r="O19" s="140">
        <v>0</v>
      </c>
      <c r="P19" s="140">
        <v>0</v>
      </c>
      <c r="Q19" s="353">
        <v>3000000</v>
      </c>
      <c r="R19" s="353">
        <v>0</v>
      </c>
      <c r="S19" s="501">
        <v>0</v>
      </c>
      <c r="T19" s="353">
        <v>0</v>
      </c>
      <c r="U19" s="519">
        <v>0</v>
      </c>
    </row>
    <row r="20" spans="1:21">
      <c r="A20" s="348" t="s">
        <v>118</v>
      </c>
      <c r="B20" s="349">
        <f>'SC5 OTHER'!L10+'SC5 OTHER'!L18+'Aug 15'!N27</f>
        <v>76870000</v>
      </c>
      <c r="C20" s="349">
        <v>75000000</v>
      </c>
      <c r="D20" s="349">
        <v>86430000</v>
      </c>
      <c r="E20" s="351">
        <v>0</v>
      </c>
      <c r="F20" s="351">
        <v>50000000</v>
      </c>
      <c r="G20" s="351">
        <v>53350000</v>
      </c>
      <c r="H20" s="355">
        <v>155360000</v>
      </c>
      <c r="I20" s="351">
        <v>40675827</v>
      </c>
      <c r="J20" s="238">
        <v>361535000</v>
      </c>
      <c r="K20" s="238">
        <v>45000000</v>
      </c>
      <c r="L20" s="140">
        <v>445510316.30000001</v>
      </c>
      <c r="M20" s="140">
        <v>358800000</v>
      </c>
      <c r="N20" s="500">
        <v>658300000</v>
      </c>
      <c r="O20" s="500">
        <v>475235473</v>
      </c>
      <c r="P20" s="500">
        <v>519550000</v>
      </c>
      <c r="Q20" s="353">
        <v>139425000</v>
      </c>
      <c r="R20" s="353">
        <v>189355000</v>
      </c>
      <c r="S20" s="501">
        <v>391476662</v>
      </c>
      <c r="T20" s="113">
        <v>391800000</v>
      </c>
      <c r="U20" s="514">
        <v>384205000</v>
      </c>
    </row>
    <row r="21" spans="1:21">
      <c r="A21" s="518" t="s">
        <v>113</v>
      </c>
      <c r="B21" s="300">
        <f>'2019 CF'!L70</f>
        <v>94030000</v>
      </c>
      <c r="C21" s="500">
        <v>25000000</v>
      </c>
      <c r="D21" s="500">
        <v>352115000</v>
      </c>
      <c r="E21" s="352">
        <v>0</v>
      </c>
      <c r="F21" s="352">
        <v>252885000</v>
      </c>
      <c r="G21" s="352">
        <v>0</v>
      </c>
      <c r="H21" s="352">
        <v>0</v>
      </c>
      <c r="I21" s="352">
        <v>0</v>
      </c>
      <c r="J21" s="113">
        <v>0</v>
      </c>
      <c r="K21" s="113">
        <v>40200000</v>
      </c>
      <c r="L21" s="500">
        <v>143000000</v>
      </c>
      <c r="M21" s="140"/>
      <c r="N21" s="500"/>
      <c r="O21" s="500">
        <v>96499998</v>
      </c>
      <c r="P21" s="500">
        <v>205500000</v>
      </c>
      <c r="Q21" s="353">
        <v>5200000</v>
      </c>
      <c r="R21" s="353">
        <v>0</v>
      </c>
      <c r="S21" s="501">
        <v>22108338</v>
      </c>
      <c r="T21" s="113">
        <v>0</v>
      </c>
      <c r="U21" s="514">
        <v>0</v>
      </c>
    </row>
    <row r="22" spans="1:21">
      <c r="A22" s="348" t="s">
        <v>119</v>
      </c>
      <c r="B22" s="349">
        <f>'SC5 OTHER'!L12+'SC5 OTHER'!L32</f>
        <v>63258647.799999997</v>
      </c>
      <c r="C22" s="464">
        <v>46001315.149999999</v>
      </c>
      <c r="D22" s="395"/>
      <c r="E22" s="351">
        <v>0</v>
      </c>
      <c r="F22" s="351">
        <v>0</v>
      </c>
      <c r="G22" s="351">
        <v>0</v>
      </c>
      <c r="H22" s="351">
        <v>0</v>
      </c>
      <c r="I22" s="351">
        <v>0</v>
      </c>
      <c r="J22" s="238">
        <v>0</v>
      </c>
      <c r="K22" s="238">
        <v>0</v>
      </c>
      <c r="L22" s="140">
        <v>85850000</v>
      </c>
      <c r="M22" s="140">
        <v>0</v>
      </c>
      <c r="N22" s="500">
        <v>58500000</v>
      </c>
      <c r="O22" s="500">
        <v>209759336</v>
      </c>
      <c r="P22" s="500">
        <v>191945000</v>
      </c>
      <c r="Q22" s="353">
        <v>598050000</v>
      </c>
      <c r="R22" s="353">
        <v>296200000</v>
      </c>
      <c r="S22" s="501">
        <v>140000000</v>
      </c>
      <c r="T22" s="113">
        <v>139500000</v>
      </c>
      <c r="U22" s="514">
        <v>136840000</v>
      </c>
    </row>
    <row r="23" spans="1:21">
      <c r="A23" s="518" t="s">
        <v>113</v>
      </c>
      <c r="B23" s="500">
        <f>'2017 CF'!L26</f>
        <v>30032428.350000001</v>
      </c>
      <c r="C23" s="520">
        <v>19967571.649999999</v>
      </c>
      <c r="D23" s="241"/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500">
        <v>208000000</v>
      </c>
      <c r="M23" s="140"/>
      <c r="N23" s="500"/>
      <c r="O23" s="500">
        <v>30645664</v>
      </c>
      <c r="P23" s="140">
        <v>0</v>
      </c>
      <c r="Q23" s="353">
        <v>58000000</v>
      </c>
      <c r="R23" s="353">
        <v>0</v>
      </c>
      <c r="S23" s="501">
        <v>0</v>
      </c>
      <c r="T23" s="113">
        <v>0</v>
      </c>
      <c r="U23" s="514">
        <v>0</v>
      </c>
    </row>
    <row r="24" spans="1:21">
      <c r="A24" s="348" t="s">
        <v>120</v>
      </c>
      <c r="B24" s="464">
        <f>'SC2 State Voted'!L9</f>
        <v>69990168.900000006</v>
      </c>
      <c r="C24" s="395"/>
      <c r="D24" s="395"/>
      <c r="E24" s="238">
        <v>170111691.94999999</v>
      </c>
      <c r="F24" s="238">
        <v>0</v>
      </c>
      <c r="G24" s="238">
        <v>0</v>
      </c>
      <c r="H24" s="238">
        <v>0</v>
      </c>
      <c r="I24" s="238">
        <v>0</v>
      </c>
      <c r="J24" s="238">
        <v>0</v>
      </c>
      <c r="K24" s="238">
        <v>74994999.700000003</v>
      </c>
      <c r="L24" s="140">
        <v>95279609.400000006</v>
      </c>
      <c r="M24" s="140">
        <v>24999100.800000001</v>
      </c>
      <c r="N24" s="500">
        <v>74997184.099999994</v>
      </c>
      <c r="O24" s="500">
        <v>99999895.150000006</v>
      </c>
      <c r="P24" s="140">
        <v>0</v>
      </c>
      <c r="Q24" s="353">
        <v>0</v>
      </c>
      <c r="R24" s="353">
        <v>25000000</v>
      </c>
      <c r="S24" s="501">
        <v>100000000</v>
      </c>
      <c r="T24" s="113">
        <v>120000000</v>
      </c>
      <c r="U24" s="514" t="s">
        <v>140</v>
      </c>
    </row>
    <row r="25" spans="1:21">
      <c r="A25" s="518" t="s">
        <v>113</v>
      </c>
      <c r="B25" s="500">
        <f>'2018 CF'!L37</f>
        <v>29724277</v>
      </c>
      <c r="C25" s="500">
        <v>170275723</v>
      </c>
      <c r="D25" s="241"/>
      <c r="E25" s="113">
        <v>501939.59999999404</v>
      </c>
      <c r="F25" s="113">
        <v>179995089.59999999</v>
      </c>
      <c r="G25" s="113">
        <v>169502970.80000001</v>
      </c>
      <c r="H25" s="521">
        <v>81144804</v>
      </c>
      <c r="I25" s="113">
        <v>143854150.80000001</v>
      </c>
      <c r="J25" s="113">
        <v>99995837.400000006</v>
      </c>
      <c r="K25" s="113">
        <v>50000000</v>
      </c>
      <c r="L25" s="500">
        <v>144649500</v>
      </c>
      <c r="M25" s="500">
        <v>50000000</v>
      </c>
      <c r="N25" s="500">
        <v>0</v>
      </c>
      <c r="O25" s="500">
        <v>0</v>
      </c>
      <c r="P25" s="140">
        <v>0</v>
      </c>
      <c r="Q25" s="353">
        <v>0</v>
      </c>
      <c r="R25" s="353">
        <v>0</v>
      </c>
      <c r="S25" s="501">
        <v>0</v>
      </c>
      <c r="T25" s="113"/>
      <c r="U25" s="514"/>
    </row>
    <row r="26" spans="1:21">
      <c r="A26" s="496" t="s">
        <v>121</v>
      </c>
      <c r="B26" s="300">
        <v>0</v>
      </c>
      <c r="C26" s="144"/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238">
        <v>742041688</v>
      </c>
      <c r="J26" s="238">
        <v>796507617.5999999</v>
      </c>
      <c r="K26" s="238">
        <v>1107266939</v>
      </c>
      <c r="L26" s="500">
        <v>0.30000019073486328</v>
      </c>
      <c r="M26" s="140"/>
      <c r="N26" s="500">
        <v>18660702.037717462</v>
      </c>
      <c r="O26" s="500">
        <v>0</v>
      </c>
      <c r="P26" s="140">
        <v>0</v>
      </c>
      <c r="Q26" s="353">
        <v>0</v>
      </c>
      <c r="R26" s="353">
        <v>0</v>
      </c>
      <c r="S26" s="501">
        <v>0</v>
      </c>
      <c r="T26" s="113">
        <v>0</v>
      </c>
      <c r="U26" s="514">
        <v>0</v>
      </c>
    </row>
    <row r="27" spans="1:21">
      <c r="A27" s="496" t="s">
        <v>122</v>
      </c>
      <c r="B27" s="140">
        <f>'2017 CF'!M32</f>
        <v>82005055.920000136</v>
      </c>
      <c r="C27" s="221">
        <v>268187900</v>
      </c>
      <c r="D27" s="221">
        <v>474671500</v>
      </c>
      <c r="E27" s="238">
        <v>514835000</v>
      </c>
      <c r="F27" s="214">
        <v>299926000</v>
      </c>
      <c r="G27" s="214">
        <v>622583000</v>
      </c>
      <c r="H27" s="522">
        <v>347460208</v>
      </c>
      <c r="I27" s="113">
        <v>308292671</v>
      </c>
      <c r="J27" s="238">
        <v>853943988</v>
      </c>
      <c r="K27" s="238">
        <v>520447605</v>
      </c>
      <c r="L27" s="140">
        <v>146632500.35000002</v>
      </c>
      <c r="M27" s="140">
        <v>236080000</v>
      </c>
      <c r="N27" s="140">
        <v>101327449</v>
      </c>
      <c r="O27" s="500">
        <v>49580000</v>
      </c>
      <c r="P27" s="500">
        <v>95000000</v>
      </c>
      <c r="Q27" s="353">
        <v>39592476.549999997</v>
      </c>
      <c r="R27" s="353">
        <v>17850</v>
      </c>
      <c r="S27" s="501">
        <v>0</v>
      </c>
      <c r="T27" s="353">
        <v>0</v>
      </c>
      <c r="U27" s="514"/>
    </row>
    <row r="28" spans="1:21">
      <c r="A28" s="523" t="s">
        <v>123</v>
      </c>
      <c r="B28" s="40"/>
      <c r="C28" s="40"/>
      <c r="D28" s="40"/>
      <c r="E28" s="113"/>
      <c r="F28" s="40"/>
      <c r="G28" s="40"/>
      <c r="H28" s="40"/>
      <c r="I28" s="40"/>
      <c r="J28" s="40"/>
      <c r="K28" s="40"/>
      <c r="L28" s="113"/>
      <c r="M28" s="524"/>
      <c r="N28" s="144"/>
      <c r="O28" s="140"/>
      <c r="P28" s="140"/>
      <c r="Q28" s="525"/>
      <c r="R28" s="353">
        <v>39677181.549999997</v>
      </c>
      <c r="S28" s="501"/>
      <c r="T28" s="353"/>
      <c r="U28" s="514"/>
    </row>
    <row r="29" spans="1:21">
      <c r="A29" s="523" t="s">
        <v>124</v>
      </c>
      <c r="B29" s="40"/>
      <c r="C29" s="418"/>
      <c r="D29" s="418"/>
      <c r="E29" s="113"/>
      <c r="F29" s="40"/>
      <c r="G29" s="40"/>
      <c r="H29" s="40"/>
      <c r="I29" s="40"/>
      <c r="J29" s="40"/>
      <c r="K29" s="40"/>
      <c r="L29" s="113"/>
      <c r="M29" s="524"/>
      <c r="N29" s="11"/>
      <c r="O29" s="238"/>
      <c r="P29" s="353"/>
      <c r="Q29" s="353">
        <v>95000000</v>
      </c>
      <c r="R29" s="353">
        <v>98000000</v>
      </c>
      <c r="S29" s="501"/>
      <c r="T29" s="353"/>
      <c r="U29" s="519"/>
    </row>
    <row r="30" spans="1:21">
      <c r="A30" s="523" t="s">
        <v>125</v>
      </c>
      <c r="B30" s="40"/>
      <c r="C30" s="113"/>
      <c r="D30" s="113"/>
      <c r="E30" s="113"/>
      <c r="F30" s="40"/>
      <c r="G30" s="40"/>
      <c r="H30" s="40"/>
      <c r="I30" s="40"/>
      <c r="J30" s="40"/>
      <c r="K30" s="113"/>
      <c r="L30" s="113"/>
      <c r="M30" s="524"/>
      <c r="N30" s="40"/>
      <c r="O30" s="113"/>
      <c r="P30" s="113">
        <v>104065280</v>
      </c>
      <c r="Q30" s="113">
        <v>170515280</v>
      </c>
      <c r="R30" s="113">
        <v>661780575</v>
      </c>
      <c r="S30" s="502"/>
      <c r="T30" s="113"/>
      <c r="U30" s="514"/>
    </row>
    <row r="31" spans="1:21">
      <c r="A31" s="523" t="s">
        <v>126</v>
      </c>
      <c r="B31" s="40"/>
      <c r="C31" s="113"/>
      <c r="D31" s="113"/>
      <c r="E31" s="113"/>
      <c r="F31" s="40"/>
      <c r="G31" s="40"/>
      <c r="H31" s="40"/>
      <c r="I31" s="40"/>
      <c r="J31" s="40"/>
      <c r="K31" s="113"/>
      <c r="L31" s="113"/>
      <c r="M31" s="524"/>
      <c r="N31" s="40"/>
      <c r="O31" s="113">
        <v>101327449</v>
      </c>
      <c r="P31" s="113">
        <v>159331887</v>
      </c>
      <c r="Q31" s="113">
        <v>675206449</v>
      </c>
      <c r="R31" s="113"/>
      <c r="S31" s="502">
        <v>385204031</v>
      </c>
      <c r="T31" s="113">
        <v>192694519</v>
      </c>
      <c r="U31" s="514">
        <v>63200000</v>
      </c>
    </row>
    <row r="32" spans="1:21">
      <c r="A32" s="523" t="s">
        <v>127</v>
      </c>
      <c r="B32" s="40"/>
      <c r="C32" s="418"/>
      <c r="D32" s="418"/>
      <c r="E32" s="113"/>
      <c r="F32" s="113"/>
      <c r="G32" s="40"/>
      <c r="H32" s="40"/>
      <c r="I32" s="40"/>
      <c r="J32" s="40"/>
      <c r="K32" s="113"/>
      <c r="L32" s="113"/>
      <c r="M32" s="524"/>
      <c r="N32" s="113">
        <v>236080000</v>
      </c>
      <c r="O32" s="113">
        <v>251080000</v>
      </c>
      <c r="P32" s="113">
        <v>444516590.5</v>
      </c>
      <c r="Q32" s="113"/>
      <c r="R32" s="113"/>
      <c r="S32" s="502"/>
      <c r="T32" s="113"/>
      <c r="U32" s="514"/>
    </row>
    <row r="33" spans="1:21">
      <c r="A33" s="523" t="s">
        <v>128</v>
      </c>
      <c r="B33" s="40"/>
      <c r="C33" s="40"/>
      <c r="D33" s="40"/>
      <c r="E33" s="113"/>
      <c r="F33" s="40"/>
      <c r="G33" s="40"/>
      <c r="H33" s="40"/>
      <c r="I33" s="40"/>
      <c r="J33" s="40"/>
      <c r="K33" s="113"/>
      <c r="L33" s="113"/>
      <c r="M33" s="524">
        <v>134538461.35000002</v>
      </c>
      <c r="N33" s="113">
        <v>270613461.35000002</v>
      </c>
      <c r="O33" s="113">
        <v>376748461.35000002</v>
      </c>
      <c r="P33" s="113"/>
      <c r="Q33" s="113"/>
      <c r="R33" s="113"/>
      <c r="S33" s="502"/>
      <c r="T33" s="113"/>
      <c r="U33" s="514"/>
    </row>
    <row r="34" spans="1:21">
      <c r="A34" s="523" t="s">
        <v>129</v>
      </c>
      <c r="B34" s="40"/>
      <c r="C34" s="113"/>
      <c r="D34" s="113"/>
      <c r="E34" s="113"/>
      <c r="F34" s="40"/>
      <c r="G34" s="40"/>
      <c r="H34" s="40"/>
      <c r="I34" s="40"/>
      <c r="J34" s="40"/>
      <c r="K34" s="113"/>
      <c r="L34" s="113">
        <v>548608539</v>
      </c>
      <c r="M34" s="524">
        <v>858767293</v>
      </c>
      <c r="N34" s="113">
        <v>1043014493</v>
      </c>
      <c r="O34" s="113"/>
      <c r="P34" s="113"/>
      <c r="Q34" s="113"/>
      <c r="R34" s="113"/>
      <c r="S34" s="502"/>
      <c r="T34" s="113"/>
      <c r="U34" s="514"/>
    </row>
    <row r="35" spans="1:21">
      <c r="A35" s="523" t="s">
        <v>130</v>
      </c>
      <c r="B35" s="40"/>
      <c r="C35" s="113"/>
      <c r="D35" s="113"/>
      <c r="E35" s="113"/>
      <c r="F35" s="113"/>
      <c r="G35" s="40"/>
      <c r="H35" s="40"/>
      <c r="I35" s="40"/>
      <c r="J35" s="40"/>
      <c r="K35" s="113">
        <v>862493038</v>
      </c>
      <c r="L35" s="113">
        <v>1223285704</v>
      </c>
      <c r="M35" s="524"/>
      <c r="N35" s="113"/>
      <c r="O35" s="113"/>
      <c r="P35" s="113"/>
      <c r="Q35" s="113"/>
      <c r="R35" s="113"/>
      <c r="S35" s="502"/>
      <c r="T35" s="113"/>
      <c r="U35" s="514"/>
    </row>
    <row r="36" spans="1:21">
      <c r="A36" s="523" t="s">
        <v>131</v>
      </c>
      <c r="B36" s="40"/>
      <c r="C36" s="40"/>
      <c r="D36" s="40"/>
      <c r="E36" s="113"/>
      <c r="F36" s="40"/>
      <c r="G36" s="40"/>
      <c r="H36" s="40"/>
      <c r="I36" s="40"/>
      <c r="J36" s="40"/>
      <c r="K36" s="113">
        <v>0</v>
      </c>
      <c r="L36" s="113">
        <v>0</v>
      </c>
      <c r="M36" s="524">
        <v>448500000</v>
      </c>
      <c r="N36" s="113">
        <v>730000000</v>
      </c>
      <c r="O36" s="113"/>
      <c r="P36" s="113"/>
      <c r="Q36" s="113"/>
      <c r="R36" s="113"/>
      <c r="S36" s="502"/>
      <c r="T36" s="113"/>
      <c r="U36" s="514"/>
    </row>
    <row r="37" spans="1:21">
      <c r="A37" s="523" t="s">
        <v>132</v>
      </c>
      <c r="B37" s="40"/>
      <c r="C37" s="40"/>
      <c r="D37" s="40"/>
      <c r="E37" s="113"/>
      <c r="F37" s="40"/>
      <c r="G37" s="40"/>
      <c r="H37" s="524"/>
      <c r="I37" s="524"/>
      <c r="J37" s="524"/>
      <c r="K37" s="113">
        <v>953632600.45000005</v>
      </c>
      <c r="L37" s="113"/>
      <c r="M37" s="524"/>
      <c r="N37" s="113"/>
      <c r="O37" s="113"/>
      <c r="P37" s="113"/>
      <c r="Q37" s="113"/>
      <c r="R37" s="113"/>
      <c r="S37" s="502"/>
      <c r="T37" s="113"/>
      <c r="U37" s="514"/>
    </row>
    <row r="38" spans="1:21">
      <c r="A38" s="523" t="s">
        <v>133</v>
      </c>
      <c r="B38" s="113"/>
      <c r="C38" s="113"/>
      <c r="D38" s="40"/>
      <c r="E38" s="113"/>
      <c r="F38" s="113"/>
      <c r="G38" s="40"/>
      <c r="H38" s="113"/>
      <c r="I38" s="113">
        <v>578191224.79999995</v>
      </c>
      <c r="J38" s="524">
        <v>897459162.60000002</v>
      </c>
      <c r="K38" s="113"/>
      <c r="L38" s="113"/>
      <c r="M38" s="524"/>
      <c r="N38" s="113"/>
      <c r="O38" s="113"/>
      <c r="P38" s="113"/>
      <c r="Q38" s="113"/>
      <c r="R38" s="113"/>
      <c r="S38" s="502"/>
      <c r="T38" s="113"/>
      <c r="U38" s="514"/>
    </row>
    <row r="39" spans="1:21">
      <c r="A39" s="523" t="s">
        <v>134</v>
      </c>
      <c r="B39" s="40"/>
      <c r="C39" s="113"/>
      <c r="D39" s="40"/>
      <c r="E39" s="113"/>
      <c r="H39" s="521">
        <v>640700000</v>
      </c>
      <c r="I39" s="113">
        <v>771171000</v>
      </c>
      <c r="J39" s="524"/>
      <c r="K39" s="113"/>
      <c r="L39" s="113"/>
      <c r="M39" s="524"/>
      <c r="N39" s="113"/>
      <c r="O39" s="113"/>
      <c r="P39" s="113"/>
      <c r="Q39" s="113"/>
      <c r="R39" s="113"/>
      <c r="S39" s="502"/>
      <c r="T39" s="113"/>
      <c r="U39" s="514"/>
    </row>
    <row r="40" spans="1:21">
      <c r="A40" s="523" t="s">
        <v>135</v>
      </c>
      <c r="B40" s="40"/>
      <c r="C40" s="113"/>
      <c r="D40" s="113"/>
      <c r="E40" s="113"/>
      <c r="F40" s="113"/>
      <c r="G40" s="113">
        <v>299926000</v>
      </c>
      <c r="H40" s="521">
        <v>751412213</v>
      </c>
      <c r="I40" s="113"/>
      <c r="J40" s="524"/>
      <c r="K40" s="113"/>
      <c r="L40" s="113"/>
      <c r="M40" s="524"/>
      <c r="N40" s="113"/>
      <c r="O40" s="113"/>
      <c r="P40" s="113"/>
      <c r="Q40" s="113"/>
      <c r="R40" s="113"/>
      <c r="S40" s="502"/>
      <c r="T40" s="113"/>
      <c r="U40" s="514"/>
    </row>
    <row r="41" spans="1:21">
      <c r="A41" s="523" t="s">
        <v>136</v>
      </c>
      <c r="B41" s="40"/>
      <c r="C41" s="113"/>
      <c r="D41" s="40"/>
      <c r="E41" s="113"/>
      <c r="F41" s="113">
        <v>792403239.60000002</v>
      </c>
      <c r="G41" s="113">
        <v>1074408329.2</v>
      </c>
      <c r="H41" s="521"/>
      <c r="I41" s="113"/>
      <c r="J41" s="524"/>
      <c r="K41" s="113"/>
      <c r="L41" s="113"/>
      <c r="M41" s="524"/>
      <c r="N41" s="113"/>
      <c r="O41" s="113"/>
      <c r="P41" s="113"/>
      <c r="Q41" s="113"/>
      <c r="R41" s="113"/>
      <c r="S41" s="502"/>
      <c r="T41" s="113"/>
      <c r="U41" s="514"/>
    </row>
    <row r="42" spans="1:21">
      <c r="A42" s="523" t="s">
        <v>160</v>
      </c>
      <c r="B42" s="40"/>
      <c r="C42" s="40"/>
      <c r="D42" s="40"/>
      <c r="E42" s="113">
        <v>826786500.33000004</v>
      </c>
      <c r="F42" s="113">
        <v>1854310800</v>
      </c>
      <c r="G42" s="347"/>
      <c r="H42" s="521"/>
      <c r="I42" s="113"/>
      <c r="J42" s="524"/>
      <c r="K42" s="113"/>
      <c r="L42" s="113"/>
      <c r="M42" s="524"/>
      <c r="N42" s="113"/>
      <c r="O42" s="113"/>
      <c r="P42" s="113"/>
      <c r="Q42" s="113"/>
      <c r="R42" s="113"/>
      <c r="S42" s="502"/>
      <c r="T42" s="113"/>
      <c r="U42" s="514"/>
    </row>
    <row r="43" spans="1:21">
      <c r="A43" s="523" t="s">
        <v>162</v>
      </c>
      <c r="B43" s="40"/>
      <c r="C43" s="113"/>
      <c r="D43" s="113">
        <v>356484900</v>
      </c>
      <c r="E43" s="113">
        <v>911328213.44000006</v>
      </c>
      <c r="F43" s="347"/>
      <c r="G43" s="113"/>
      <c r="H43" s="521"/>
      <c r="I43" s="113"/>
      <c r="J43" s="524"/>
      <c r="K43" s="113"/>
      <c r="L43" s="113"/>
      <c r="M43" s="524"/>
      <c r="N43" s="113"/>
      <c r="O43" s="113"/>
      <c r="P43" s="113"/>
      <c r="Q43" s="113"/>
      <c r="R43" s="113"/>
      <c r="S43" s="502"/>
      <c r="T43" s="113"/>
      <c r="U43" s="514"/>
    </row>
    <row r="44" spans="1:21">
      <c r="A44" s="523" t="s">
        <v>185</v>
      </c>
      <c r="B44" s="40"/>
      <c r="C44" s="113">
        <v>127037484.27000013</v>
      </c>
      <c r="D44" s="113">
        <v>858175818.78999996</v>
      </c>
      <c r="E44" s="113"/>
      <c r="F44" s="113"/>
      <c r="G44" s="113"/>
      <c r="H44" s="521"/>
      <c r="I44" s="113"/>
      <c r="J44" s="524"/>
      <c r="K44" s="113"/>
      <c r="L44" s="113"/>
      <c r="M44" s="524"/>
      <c r="N44" s="113"/>
      <c r="O44" s="113"/>
      <c r="P44" s="113"/>
      <c r="Q44" s="113"/>
      <c r="R44" s="113"/>
      <c r="S44" s="502"/>
      <c r="T44" s="113"/>
      <c r="U44" s="514"/>
    </row>
    <row r="45" spans="1:21">
      <c r="A45" s="523" t="s">
        <v>481</v>
      </c>
      <c r="B45" s="526">
        <f>'2018 CF'!M51</f>
        <v>295907040</v>
      </c>
      <c r="C45" s="113">
        <v>767572009.92449999</v>
      </c>
      <c r="D45" s="113"/>
      <c r="E45" s="113"/>
      <c r="F45" s="113"/>
      <c r="G45" s="113"/>
      <c r="H45" s="521"/>
      <c r="I45" s="113"/>
      <c r="J45" s="524"/>
      <c r="K45" s="113"/>
      <c r="L45" s="113"/>
      <c r="M45" s="524"/>
      <c r="N45" s="113"/>
      <c r="O45" s="113"/>
      <c r="P45" s="113"/>
      <c r="Q45" s="113"/>
      <c r="R45" s="113"/>
      <c r="S45" s="502"/>
      <c r="T45" s="113"/>
      <c r="U45" s="514"/>
    </row>
    <row r="46" spans="1:21">
      <c r="A46" s="523" t="s">
        <v>357</v>
      </c>
      <c r="B46" s="526">
        <f>'2019 CF'!M76</f>
        <v>837424700.89999998</v>
      </c>
      <c r="C46" s="113"/>
      <c r="D46" s="113"/>
      <c r="E46" s="113"/>
      <c r="F46" s="113"/>
      <c r="G46" s="113"/>
      <c r="H46" s="521"/>
      <c r="I46" s="113"/>
      <c r="J46" s="524"/>
      <c r="K46" s="113"/>
      <c r="L46" s="113"/>
      <c r="M46" s="524"/>
      <c r="N46" s="113"/>
      <c r="O46" s="113"/>
      <c r="P46" s="113"/>
      <c r="Q46" s="113"/>
      <c r="R46" s="113"/>
      <c r="S46" s="502"/>
      <c r="T46" s="113"/>
      <c r="U46" s="514"/>
    </row>
    <row r="47" spans="1:21">
      <c r="A47" s="523" t="s">
        <v>137</v>
      </c>
      <c r="B47" s="418">
        <f>'2020 CF'!L87</f>
        <v>1844727688.3000002</v>
      </c>
      <c r="C47" s="113">
        <v>2481381410.8499999</v>
      </c>
      <c r="D47" s="526">
        <v>2644975579</v>
      </c>
      <c r="E47" s="526">
        <v>1571292238.1500001</v>
      </c>
      <c r="F47" s="347">
        <v>2201486119.4400001</v>
      </c>
      <c r="G47" s="347">
        <v>2440169300</v>
      </c>
      <c r="H47" s="521">
        <v>2373598300</v>
      </c>
      <c r="I47" s="113">
        <v>1282771000</v>
      </c>
      <c r="J47" s="113">
        <v>951896000</v>
      </c>
      <c r="K47" s="113">
        <v>1135180000</v>
      </c>
      <c r="L47" s="113">
        <v>1528909710.3000002</v>
      </c>
      <c r="M47" s="524">
        <v>1734920489.2</v>
      </c>
      <c r="N47" s="113"/>
      <c r="O47" s="113"/>
      <c r="P47" s="113"/>
      <c r="Q47" s="113"/>
      <c r="R47" s="113"/>
      <c r="S47" s="502"/>
      <c r="T47" s="113"/>
      <c r="U47" s="514"/>
    </row>
    <row r="48" spans="1:21" ht="12.75" thickBot="1">
      <c r="A48" s="527"/>
      <c r="B48" s="528">
        <f>SUM(B9:B47)</f>
        <v>6420558409.0945005</v>
      </c>
      <c r="C48" s="528">
        <v>6873330023.3945007</v>
      </c>
      <c r="D48" s="528">
        <v>6281389530.1499996</v>
      </c>
      <c r="E48" s="528">
        <v>7634459758.04</v>
      </c>
      <c r="F48" s="528">
        <v>6561415028.2000008</v>
      </c>
      <c r="G48" s="528">
        <v>6459406313</v>
      </c>
      <c r="H48" s="528">
        <v>5276952525</v>
      </c>
      <c r="I48" s="528">
        <v>4717858331.6000004</v>
      </c>
      <c r="J48" s="528">
        <v>5390400333.6000004</v>
      </c>
      <c r="K48" s="528">
        <v>5789638391.1499996</v>
      </c>
      <c r="L48" s="528">
        <v>5407133423.6500006</v>
      </c>
      <c r="M48" s="528">
        <v>4469135614.3500004</v>
      </c>
      <c r="N48" s="528">
        <v>2761268210.4877172</v>
      </c>
      <c r="O48" s="528">
        <v>2705835313</v>
      </c>
      <c r="P48" s="528">
        <v>2769519169</v>
      </c>
      <c r="Q48" s="528">
        <v>2598659516.5500002</v>
      </c>
      <c r="R48" s="528">
        <v>2154684751.5500002</v>
      </c>
      <c r="S48" s="529">
        <v>1826186494</v>
      </c>
      <c r="T48" s="530">
        <v>1662576350</v>
      </c>
      <c r="U48" s="531">
        <v>1322304905</v>
      </c>
    </row>
    <row r="49" spans="1:21" ht="12.75">
      <c r="A49" s="1"/>
      <c r="B49" s="1"/>
      <c r="C49" s="1"/>
      <c r="D49" s="1">
        <v>0.99999999971821518</v>
      </c>
      <c r="E49" s="1"/>
      <c r="F49" s="116"/>
      <c r="G49" s="1"/>
      <c r="H49" s="1"/>
      <c r="I49" s="1"/>
      <c r="K49" s="532"/>
      <c r="L49" s="107"/>
      <c r="M49" s="107"/>
      <c r="N49" s="107"/>
      <c r="P49" s="107"/>
      <c r="Q49" s="272"/>
      <c r="R49" s="272"/>
      <c r="U49" s="533"/>
    </row>
    <row r="50" spans="1:21">
      <c r="B50">
        <f>SUM(B48/B5)</f>
        <v>0.9999999998520378</v>
      </c>
      <c r="C50">
        <v>1.0000000000879488</v>
      </c>
      <c r="F50" s="532">
        <v>4848200159.04</v>
      </c>
      <c r="J50" s="107">
        <v>653270937.39999998</v>
      </c>
      <c r="K50" s="532"/>
      <c r="L50" s="532"/>
      <c r="N50" s="107"/>
      <c r="O50" s="107">
        <v>1621413093.6500001</v>
      </c>
    </row>
    <row r="51" spans="1:21">
      <c r="A51" s="1" t="s">
        <v>10</v>
      </c>
      <c r="B51" s="1"/>
      <c r="C51" s="1"/>
      <c r="D51" s="1"/>
      <c r="E51" s="1"/>
      <c r="F51" s="1"/>
      <c r="G51" s="107">
        <v>2440169300</v>
      </c>
      <c r="H51" s="107">
        <v>2373598300</v>
      </c>
      <c r="I51" s="107">
        <v>2024812688</v>
      </c>
      <c r="K51" s="532"/>
      <c r="L51" s="107">
        <v>1528909710.3000002</v>
      </c>
      <c r="M51" s="107">
        <v>1734920489.2</v>
      </c>
      <c r="N51" s="107">
        <v>18660702.037717462</v>
      </c>
      <c r="P51" s="107">
        <v>1384280849.5</v>
      </c>
      <c r="Q51" s="272"/>
      <c r="R51" s="272"/>
    </row>
    <row r="52" spans="1:21">
      <c r="A52" s="1" t="s">
        <v>141</v>
      </c>
      <c r="B52" s="594">
        <f>B8+B11+B14+B18+B20+B22+B24</f>
        <v>1199839816.7</v>
      </c>
      <c r="C52" s="107">
        <f>C11+C14+C18+C20+C22</f>
        <v>532312314.14999998</v>
      </c>
      <c r="D52" s="107">
        <f>D11+D14+D20</f>
        <v>327007000</v>
      </c>
      <c r="E52" s="107">
        <v>1214967360.8499999</v>
      </c>
      <c r="F52" s="107">
        <v>545425279.55999994</v>
      </c>
      <c r="G52" s="107">
        <v>255526500</v>
      </c>
      <c r="H52" s="107">
        <v>271221000</v>
      </c>
      <c r="I52" s="107">
        <v>450811597</v>
      </c>
      <c r="J52" s="107">
        <v>690691078</v>
      </c>
      <c r="K52" s="107">
        <v>246387499.69999999</v>
      </c>
      <c r="L52" s="107">
        <v>701497469.69999993</v>
      </c>
      <c r="M52" s="107">
        <v>454507170.80000001</v>
      </c>
      <c r="N52" s="107">
        <v>970197105.10000002</v>
      </c>
      <c r="O52" s="107">
        <v>1998161555</v>
      </c>
      <c r="P52" s="107">
        <v>1828797440</v>
      </c>
      <c r="Q52" s="107">
        <v>1799201760</v>
      </c>
      <c r="R52" s="107">
        <v>1919439720</v>
      </c>
      <c r="S52" s="107">
        <v>1670078156</v>
      </c>
    </row>
    <row r="53" spans="1:21">
      <c r="A53" s="1" t="s">
        <v>142</v>
      </c>
      <c r="B53" s="594">
        <f>B12+B15+B21+B23+B25+B9</f>
        <v>2160654107.2744999</v>
      </c>
      <c r="C53" s="107">
        <v>2665474904.2000003</v>
      </c>
      <c r="D53" s="107">
        <f>D12+D15+D21</f>
        <v>1620074732.3600001</v>
      </c>
      <c r="E53" s="107">
        <v>2595250445.27</v>
      </c>
      <c r="F53" s="107">
        <v>867863589.60000002</v>
      </c>
      <c r="G53" s="107">
        <v>1766793183.8</v>
      </c>
      <c r="H53" s="107">
        <v>892560804</v>
      </c>
      <c r="I53" s="107">
        <v>584579150.79999995</v>
      </c>
      <c r="J53" s="107">
        <v>653270937.39999998</v>
      </c>
      <c r="K53" s="107">
        <v>964230709</v>
      </c>
      <c r="L53" s="107">
        <v>859699500</v>
      </c>
      <c r="M53" s="107">
        <v>320322200</v>
      </c>
      <c r="N53" s="107"/>
      <c r="P53" s="107"/>
      <c r="Q53" s="107"/>
      <c r="R53" s="107"/>
      <c r="S53" s="107"/>
    </row>
    <row r="54" spans="1:21">
      <c r="A54" s="1" t="s">
        <v>143</v>
      </c>
      <c r="B54" s="1"/>
      <c r="C54" s="107"/>
      <c r="D54" s="1"/>
      <c r="E54" s="1"/>
      <c r="F54" s="1"/>
      <c r="G54" s="1"/>
      <c r="H54" s="1"/>
      <c r="I54" s="1"/>
      <c r="K54" s="532"/>
      <c r="L54" s="107">
        <v>398500000</v>
      </c>
      <c r="M54" s="107">
        <v>281500000</v>
      </c>
      <c r="N54" s="107"/>
      <c r="P54" s="107"/>
      <c r="Q54" s="107"/>
      <c r="R54" s="107"/>
      <c r="S54" s="107"/>
    </row>
    <row r="55" spans="1:21">
      <c r="A55" s="1" t="s">
        <v>144</v>
      </c>
      <c r="B55" s="267">
        <f>B3-B52</f>
        <v>1844727688.3</v>
      </c>
      <c r="C55" s="1"/>
      <c r="D55" s="1"/>
      <c r="E55" s="1"/>
      <c r="F55" s="1"/>
      <c r="G55" s="1"/>
      <c r="H55" s="1"/>
      <c r="I55" s="1"/>
      <c r="J55" s="534">
        <v>1444090712.5999999</v>
      </c>
      <c r="K55" s="107">
        <v>1382940643</v>
      </c>
      <c r="L55" s="107">
        <v>1918526743.3499999</v>
      </c>
      <c r="M55" s="107">
        <v>1677885754.3499999</v>
      </c>
      <c r="N55" s="107">
        <v>1772410403.3499999</v>
      </c>
      <c r="O55" s="107">
        <v>707673758</v>
      </c>
      <c r="P55" s="107">
        <v>940721729</v>
      </c>
      <c r="Q55" s="107">
        <v>799457756.54999995</v>
      </c>
      <c r="R55" s="107">
        <v>235245031.55000001</v>
      </c>
      <c r="S55" s="107">
        <v>156108338</v>
      </c>
    </row>
    <row r="56" spans="1:21">
      <c r="K56" s="532"/>
      <c r="L56" s="107">
        <v>5407133423.3500004</v>
      </c>
      <c r="M56" s="114">
        <v>4469135614.3500004</v>
      </c>
      <c r="N56" s="114">
        <v>2761268210.4877176</v>
      </c>
      <c r="O56" s="114">
        <v>2705835313</v>
      </c>
      <c r="P56" s="114">
        <v>2769519169</v>
      </c>
      <c r="Q56" s="114">
        <v>2598659516.5500002</v>
      </c>
      <c r="R56" s="114">
        <v>2154684751.5500002</v>
      </c>
      <c r="S56" s="114">
        <v>1826186494</v>
      </c>
    </row>
    <row r="57" spans="1:21">
      <c r="B57" s="532"/>
      <c r="H57" s="532"/>
      <c r="I57" s="532"/>
      <c r="K57" s="532"/>
      <c r="L57" s="532"/>
    </row>
    <row r="58" spans="1:21">
      <c r="A58" s="1" t="s">
        <v>145</v>
      </c>
      <c r="B58" s="1"/>
      <c r="C58" s="1"/>
      <c r="D58" s="1"/>
      <c r="E58" s="107">
        <v>3810217806.1199999</v>
      </c>
      <c r="F58" s="1"/>
      <c r="G58" s="1"/>
      <c r="H58" s="1"/>
      <c r="I58" s="1"/>
      <c r="J58" s="107">
        <v>1343962015.4000001</v>
      </c>
      <c r="K58" s="107">
        <v>1210618208.7</v>
      </c>
      <c r="L58" s="107">
        <v>1959696969.6999998</v>
      </c>
      <c r="N58" s="535">
        <v>0.47748921283094414</v>
      </c>
      <c r="O58" s="535">
        <v>1</v>
      </c>
      <c r="P58" s="272">
        <v>1</v>
      </c>
    </row>
    <row r="59" spans="1:21">
      <c r="J59" s="107">
        <v>533175100</v>
      </c>
      <c r="N59" s="535">
        <v>2.4307701250055427</v>
      </c>
      <c r="O59" s="535">
        <v>0.999660976358409</v>
      </c>
      <c r="P59" s="272">
        <v>1</v>
      </c>
      <c r="T59" s="536"/>
    </row>
    <row r="60" spans="1:21">
      <c r="B60" s="433"/>
      <c r="C60" s="433"/>
      <c r="D60" s="433"/>
      <c r="E60" s="532">
        <v>-1.4901161193847656E-7</v>
      </c>
      <c r="N60" s="537">
        <v>1.000086924188901</v>
      </c>
      <c r="O60" s="537">
        <v>0.9999113108571327</v>
      </c>
      <c r="P60" s="538">
        <v>1</v>
      </c>
      <c r="T60" s="539"/>
    </row>
    <row r="61" spans="1:21">
      <c r="D61">
        <v>1</v>
      </c>
      <c r="F61">
        <v>0.82037716162898355</v>
      </c>
      <c r="T61" s="540"/>
    </row>
    <row r="62" spans="1:21">
      <c r="A62" s="1" t="s">
        <v>146</v>
      </c>
      <c r="B62" s="116">
        <f>B3-B8-B11-B14-B17-B18-B20-B22-B24-B47</f>
        <v>0</v>
      </c>
      <c r="C62" s="116">
        <v>0</v>
      </c>
      <c r="D62" s="116">
        <v>0.76999998092651367</v>
      </c>
      <c r="E62" s="107">
        <v>0.9999997615814209</v>
      </c>
      <c r="F62" s="107"/>
      <c r="G62" s="534"/>
      <c r="H62" s="534"/>
      <c r="I62" s="534"/>
      <c r="J62" s="534"/>
      <c r="K62" s="534"/>
      <c r="L62" s="534"/>
      <c r="M62" s="534"/>
      <c r="N62" s="534"/>
      <c r="O62" s="534"/>
      <c r="P62" s="534"/>
      <c r="T62" s="539"/>
    </row>
    <row r="63" spans="1:21">
      <c r="A63" s="1" t="s">
        <v>147</v>
      </c>
      <c r="B63" s="107">
        <f>B4-B9-B12-B15-B19-B21-B23-B25-B27-B44-B45-B46</f>
        <v>0.94999992847442627</v>
      </c>
      <c r="C63" s="534">
        <v>-0.6045001745223999</v>
      </c>
      <c r="D63" s="534"/>
      <c r="E63" s="107">
        <v>-8.9406967163085938E-8</v>
      </c>
      <c r="F63" s="107"/>
      <c r="G63" s="107"/>
      <c r="H63" s="534"/>
      <c r="I63" s="534"/>
      <c r="J63" s="534"/>
      <c r="K63" s="534"/>
      <c r="L63" s="534"/>
      <c r="M63" s="534"/>
      <c r="N63" s="534"/>
      <c r="O63" s="534"/>
      <c r="P63" s="534"/>
      <c r="T63" s="356"/>
    </row>
    <row r="64" spans="1:21">
      <c r="G64" s="532"/>
    </row>
    <row r="65" spans="1:21">
      <c r="G65" s="541"/>
      <c r="H65" s="542"/>
      <c r="I65" s="542"/>
    </row>
    <row r="66" spans="1:21">
      <c r="E66" s="484">
        <v>2017</v>
      </c>
      <c r="F66" s="484">
        <v>2016</v>
      </c>
      <c r="G66" s="484">
        <v>2015</v>
      </c>
      <c r="H66" s="484">
        <v>2014</v>
      </c>
      <c r="I66" s="484">
        <v>2013</v>
      </c>
      <c r="J66" s="484">
        <v>2012</v>
      </c>
      <c r="K66" s="484">
        <v>2011</v>
      </c>
      <c r="L66" s="484">
        <v>2010</v>
      </c>
      <c r="M66" s="484">
        <v>2009</v>
      </c>
      <c r="N66" s="484">
        <v>2008</v>
      </c>
      <c r="O66" s="484">
        <v>2007</v>
      </c>
      <c r="P66" s="484">
        <v>2006</v>
      </c>
      <c r="Q66" s="484">
        <v>2005</v>
      </c>
      <c r="R66" s="484">
        <v>2004</v>
      </c>
      <c r="S66" s="484">
        <v>2003</v>
      </c>
      <c r="T66" s="484" t="s">
        <v>138</v>
      </c>
      <c r="U66" s="484" t="s">
        <v>139</v>
      </c>
    </row>
    <row r="67" spans="1:21">
      <c r="A67" s="1" t="s">
        <v>58</v>
      </c>
      <c r="B67" s="1"/>
      <c r="C67" s="1"/>
      <c r="D67" s="1"/>
      <c r="E67" s="532">
        <v>3029932174.5700002</v>
      </c>
      <c r="F67" s="532">
        <v>310068279.56</v>
      </c>
      <c r="G67" s="532">
        <v>1282090213</v>
      </c>
      <c r="H67" s="532">
        <v>726532000</v>
      </c>
      <c r="I67" s="532">
        <v>675757940</v>
      </c>
      <c r="J67" s="107">
        <v>762006178</v>
      </c>
      <c r="K67" s="107">
        <v>917248209</v>
      </c>
      <c r="L67" s="107">
        <v>399142544</v>
      </c>
      <c r="M67" s="107">
        <v>326297020</v>
      </c>
      <c r="N67" s="107">
        <v>134240000</v>
      </c>
      <c r="O67" s="107">
        <v>627287536.5</v>
      </c>
      <c r="P67" s="107">
        <v>618272849.5</v>
      </c>
      <c r="Q67" s="107">
        <v>273345311</v>
      </c>
      <c r="R67" s="107">
        <v>352404145</v>
      </c>
      <c r="S67" s="107">
        <v>271521463</v>
      </c>
      <c r="T67" s="107">
        <v>453396662</v>
      </c>
      <c r="U67" s="107">
        <v>418475905</v>
      </c>
    </row>
    <row r="68" spans="1:21">
      <c r="A68" s="1" t="s">
        <v>59</v>
      </c>
      <c r="B68" s="1"/>
      <c r="C68" s="1"/>
      <c r="D68" s="1"/>
      <c r="E68" s="1"/>
      <c r="F68" s="1"/>
      <c r="G68" s="1"/>
      <c r="H68" s="1"/>
      <c r="I68" s="1"/>
      <c r="J68" s="107">
        <v>99995837.400000006</v>
      </c>
      <c r="K68" s="107">
        <v>124994999.7</v>
      </c>
      <c r="L68" s="107">
        <v>95279609.400000006</v>
      </c>
      <c r="M68" s="107">
        <v>24999100.800000001</v>
      </c>
      <c r="N68" s="107">
        <v>74997184.099999994</v>
      </c>
      <c r="O68" s="107">
        <v>99999895.150000006</v>
      </c>
      <c r="P68" s="107">
        <v>0</v>
      </c>
      <c r="Q68" s="107">
        <v>0</v>
      </c>
      <c r="R68" s="107">
        <v>25000000</v>
      </c>
      <c r="S68" s="107">
        <v>100000000</v>
      </c>
      <c r="T68" s="107">
        <v>120000000</v>
      </c>
      <c r="U68" s="107">
        <v>0</v>
      </c>
    </row>
    <row r="69" spans="1:21">
      <c r="A69" s="1" t="s">
        <v>60</v>
      </c>
      <c r="B69" s="1"/>
      <c r="C69" s="1"/>
      <c r="D69" s="1"/>
      <c r="E69" s="1"/>
      <c r="F69" s="1"/>
      <c r="G69" s="1"/>
      <c r="H69" s="1"/>
      <c r="I69" s="1"/>
      <c r="J69" s="107">
        <v>10000000</v>
      </c>
      <c r="K69" s="107">
        <v>13300000</v>
      </c>
      <c r="L69" s="107">
        <v>3440000</v>
      </c>
      <c r="M69" s="107">
        <v>16043250</v>
      </c>
      <c r="N69" s="107">
        <v>40869207</v>
      </c>
      <c r="O69" s="107">
        <v>19402500</v>
      </c>
      <c r="P69" s="107">
        <v>0</v>
      </c>
      <c r="Q69" s="107">
        <v>7225000</v>
      </c>
      <c r="R69" s="107">
        <v>10000000</v>
      </c>
      <c r="S69" s="107">
        <v>3700000</v>
      </c>
      <c r="T69" s="107">
        <v>0</v>
      </c>
      <c r="U69" s="107">
        <v>0</v>
      </c>
    </row>
    <row r="70" spans="1:21">
      <c r="A70" s="1" t="s">
        <v>61</v>
      </c>
      <c r="B70" s="1"/>
      <c r="C70" s="1"/>
      <c r="D70" s="1"/>
      <c r="E70" s="107">
        <v>601072000</v>
      </c>
      <c r="F70" s="107">
        <v>578830500</v>
      </c>
      <c r="G70" s="107">
        <v>497506500</v>
      </c>
      <c r="H70" s="107">
        <v>197095000</v>
      </c>
      <c r="I70" s="107">
        <v>173205000</v>
      </c>
      <c r="J70" s="107">
        <v>110425000</v>
      </c>
      <c r="K70" s="107">
        <v>69875000</v>
      </c>
      <c r="L70" s="107">
        <v>36325000</v>
      </c>
      <c r="M70" s="107">
        <v>28690000</v>
      </c>
      <c r="N70" s="107">
        <v>124665714</v>
      </c>
      <c r="O70" s="107">
        <v>368269000</v>
      </c>
      <c r="P70" s="107">
        <v>431337562</v>
      </c>
      <c r="Q70" s="107">
        <v>537100000</v>
      </c>
      <c r="R70" s="107">
        <v>482250000</v>
      </c>
      <c r="S70" s="107">
        <v>512176000</v>
      </c>
      <c r="T70" s="107">
        <v>365185169</v>
      </c>
      <c r="U70" s="107">
        <v>319584000</v>
      </c>
    </row>
    <row r="71" spans="1:21">
      <c r="A71" s="1" t="s">
        <v>62</v>
      </c>
      <c r="B71" s="1"/>
      <c r="C71" s="1"/>
      <c r="D71" s="1"/>
      <c r="E71" s="1"/>
      <c r="F71" s="1"/>
      <c r="G71" s="1"/>
      <c r="H71" s="1"/>
      <c r="I71" s="1"/>
      <c r="J71" s="107">
        <v>0</v>
      </c>
      <c r="K71" s="107">
        <v>0</v>
      </c>
      <c r="L71" s="107">
        <v>293850000</v>
      </c>
      <c r="M71" s="107">
        <v>0</v>
      </c>
      <c r="N71" s="107">
        <v>58500000</v>
      </c>
      <c r="O71" s="107">
        <v>240405000</v>
      </c>
      <c r="P71" s="107">
        <v>191945000</v>
      </c>
      <c r="Q71" s="107">
        <v>656050000</v>
      </c>
      <c r="R71" s="107">
        <v>296200000</v>
      </c>
      <c r="S71" s="107">
        <v>140000000</v>
      </c>
      <c r="T71" s="107">
        <v>139500000</v>
      </c>
      <c r="U71" s="107">
        <v>136840000</v>
      </c>
    </row>
    <row r="72" spans="1:21">
      <c r="A72" s="1" t="s">
        <v>63</v>
      </c>
      <c r="B72" s="1"/>
      <c r="C72" s="1"/>
      <c r="D72" s="1"/>
      <c r="E72" s="1"/>
      <c r="F72" s="1"/>
      <c r="G72" s="1"/>
      <c r="H72" s="1"/>
      <c r="I72" s="1"/>
      <c r="J72" s="107">
        <v>361535000</v>
      </c>
      <c r="K72" s="107">
        <v>85200000</v>
      </c>
      <c r="L72" s="107">
        <v>588510316.29999995</v>
      </c>
      <c r="M72" s="107">
        <v>358800000</v>
      </c>
      <c r="N72" s="107">
        <v>658300000</v>
      </c>
      <c r="O72" s="107">
        <v>571735471</v>
      </c>
      <c r="P72" s="107">
        <v>725050000</v>
      </c>
      <c r="Q72" s="107">
        <v>144625000</v>
      </c>
      <c r="R72" s="107">
        <v>189355000</v>
      </c>
      <c r="S72" s="107">
        <v>413585000</v>
      </c>
      <c r="T72" s="107">
        <v>391800000</v>
      </c>
      <c r="U72" s="107">
        <v>384205000</v>
      </c>
    </row>
    <row r="73" spans="1:21">
      <c r="A73" s="1" t="s">
        <v>148</v>
      </c>
      <c r="B73" s="1"/>
      <c r="C73" s="1"/>
      <c r="D73" s="1"/>
      <c r="E73" s="1"/>
      <c r="F73" s="1"/>
      <c r="G73" s="1"/>
      <c r="H73" s="1"/>
      <c r="I73" s="1"/>
      <c r="J73" s="107">
        <v>853943988</v>
      </c>
      <c r="K73" s="107">
        <v>520447605</v>
      </c>
      <c r="L73" s="107">
        <v>146632500.35000002</v>
      </c>
      <c r="M73" s="107">
        <v>236080000</v>
      </c>
      <c r="N73" s="107">
        <v>101327449</v>
      </c>
      <c r="O73" s="107">
        <v>49580000</v>
      </c>
      <c r="P73" s="107">
        <v>95000000</v>
      </c>
      <c r="Q73" s="107">
        <v>39592476.549999997</v>
      </c>
      <c r="R73" s="107">
        <v>17850</v>
      </c>
      <c r="S73" s="107">
        <v>0</v>
      </c>
      <c r="T73" s="107">
        <v>0</v>
      </c>
      <c r="U73" s="107">
        <v>0</v>
      </c>
    </row>
    <row r="74" spans="1:21">
      <c r="J74" s="534">
        <v>2395986712.5999999</v>
      </c>
      <c r="K74" s="534">
        <v>2088812600.45</v>
      </c>
      <c r="L74" s="107">
        <v>1563179970.0499997</v>
      </c>
      <c r="M74" s="107">
        <v>990909370.79999995</v>
      </c>
      <c r="N74" s="107">
        <v>1192899554.0999999</v>
      </c>
      <c r="O74" s="107">
        <v>1976679402.6500001</v>
      </c>
      <c r="P74" s="107">
        <v>2061605411.5</v>
      </c>
      <c r="Q74" s="107">
        <v>1657937787.55</v>
      </c>
      <c r="R74" s="107">
        <v>1355226995</v>
      </c>
      <c r="S74" s="107">
        <v>1440982463</v>
      </c>
      <c r="T74" s="107">
        <v>1469881831</v>
      </c>
      <c r="U74" s="107">
        <v>1259104905</v>
      </c>
    </row>
    <row r="75" spans="1:21">
      <c r="F75" s="532">
        <v>4848200159.04</v>
      </c>
      <c r="L75" s="116">
        <v>3092089680.3499999</v>
      </c>
    </row>
    <row r="77" spans="1:21">
      <c r="A77" s="1" t="s">
        <v>149</v>
      </c>
      <c r="B77" s="1"/>
      <c r="C77" s="1"/>
      <c r="D77" s="1"/>
      <c r="E77" s="1"/>
      <c r="F77" s="1"/>
      <c r="G77" s="1"/>
      <c r="H77" s="1"/>
      <c r="I77" s="1"/>
    </row>
    <row r="78" spans="1:21">
      <c r="A78" s="1" t="s">
        <v>58</v>
      </c>
      <c r="B78" s="1"/>
      <c r="C78" s="1"/>
      <c r="D78" s="1"/>
      <c r="E78" s="1"/>
      <c r="F78" s="1"/>
      <c r="G78" s="1"/>
      <c r="H78" s="1"/>
      <c r="I78" s="1"/>
      <c r="J78" s="116">
        <v>228831078</v>
      </c>
      <c r="K78" s="116">
        <v>105842500</v>
      </c>
      <c r="L78" s="116">
        <v>66142544</v>
      </c>
      <c r="M78" s="116">
        <v>54664820</v>
      </c>
      <c r="N78" s="116">
        <v>99000000</v>
      </c>
    </row>
    <row r="79" spans="1:21">
      <c r="A79" s="1" t="s">
        <v>59</v>
      </c>
      <c r="B79" s="1"/>
      <c r="C79" s="1"/>
      <c r="D79" s="1"/>
      <c r="E79" s="1"/>
      <c r="F79" s="1"/>
      <c r="G79" s="1"/>
      <c r="H79" s="1"/>
      <c r="I79" s="1"/>
      <c r="J79" s="534">
        <v>0</v>
      </c>
      <c r="K79" s="534">
        <v>74994999.700000003</v>
      </c>
      <c r="L79" s="534">
        <v>95279609.400000006</v>
      </c>
      <c r="M79" s="534">
        <v>24999100.800000001</v>
      </c>
      <c r="N79" s="534">
        <v>74997184.099999994</v>
      </c>
    </row>
    <row r="80" spans="1:21">
      <c r="A80" s="1" t="s">
        <v>60</v>
      </c>
      <c r="B80" s="1"/>
      <c r="C80" s="1"/>
      <c r="D80" s="1"/>
      <c r="E80" s="1"/>
      <c r="F80" s="1"/>
      <c r="G80" s="1"/>
      <c r="H80" s="1"/>
      <c r="I80" s="1"/>
      <c r="J80" s="534">
        <v>10000000</v>
      </c>
      <c r="K80" s="534">
        <v>13300000</v>
      </c>
      <c r="L80" s="534">
        <v>3440000</v>
      </c>
      <c r="M80" s="534">
        <v>16043250</v>
      </c>
      <c r="N80" s="534">
        <v>40869207</v>
      </c>
    </row>
    <row r="81" spans="1:17">
      <c r="A81" s="1" t="s">
        <v>61</v>
      </c>
      <c r="B81" s="1"/>
      <c r="C81" s="1"/>
      <c r="D81" s="1"/>
      <c r="E81" s="1"/>
      <c r="F81" s="1"/>
      <c r="G81" s="1"/>
      <c r="H81" s="1"/>
      <c r="I81" s="1"/>
      <c r="J81" s="534">
        <v>90325000</v>
      </c>
      <c r="K81" s="534">
        <v>7250000</v>
      </c>
      <c r="L81" s="534">
        <v>5275000</v>
      </c>
      <c r="M81" s="534">
        <v>0</v>
      </c>
      <c r="N81" s="534">
        <v>38530714</v>
      </c>
    </row>
    <row r="82" spans="1:17">
      <c r="A82" s="1" t="s">
        <v>62</v>
      </c>
      <c r="B82" s="1"/>
      <c r="C82" s="1"/>
      <c r="D82" s="1"/>
      <c r="E82" s="1"/>
      <c r="F82" s="1"/>
      <c r="G82" s="1"/>
      <c r="H82" s="1"/>
      <c r="I82" s="1"/>
      <c r="J82" s="534">
        <v>0</v>
      </c>
      <c r="K82" s="534">
        <v>0</v>
      </c>
      <c r="L82" s="534">
        <v>85850000</v>
      </c>
      <c r="M82" s="534">
        <v>0</v>
      </c>
      <c r="N82" s="534">
        <v>58500000</v>
      </c>
    </row>
    <row r="83" spans="1:17">
      <c r="A83" s="1" t="s">
        <v>63</v>
      </c>
      <c r="B83" s="1"/>
      <c r="C83" s="1"/>
      <c r="D83" s="1"/>
      <c r="E83" s="1"/>
      <c r="F83" s="1"/>
      <c r="G83" s="1"/>
      <c r="H83" s="1"/>
      <c r="I83" s="1"/>
      <c r="J83" s="534">
        <v>361535000</v>
      </c>
      <c r="K83" s="534">
        <v>45000000</v>
      </c>
      <c r="L83" s="534">
        <v>445510316.30000001</v>
      </c>
      <c r="M83" s="534">
        <v>358800000</v>
      </c>
      <c r="N83" s="534">
        <v>658300000</v>
      </c>
    </row>
    <row r="84" spans="1:17">
      <c r="A84" s="1" t="s">
        <v>80</v>
      </c>
      <c r="B84" s="1"/>
      <c r="C84" s="1"/>
      <c r="D84" s="1"/>
      <c r="E84" s="1"/>
      <c r="F84" s="1"/>
      <c r="G84" s="1"/>
      <c r="H84" s="1"/>
      <c r="I84" s="1"/>
      <c r="J84" s="534">
        <v>951896000</v>
      </c>
      <c r="K84" s="534">
        <v>1135180000</v>
      </c>
      <c r="L84" s="534">
        <v>1528909710.3000002</v>
      </c>
      <c r="M84" s="534">
        <v>1734920489.2</v>
      </c>
      <c r="N84" s="534">
        <v>1043014493</v>
      </c>
    </row>
    <row r="85" spans="1:17">
      <c r="K85" s="116">
        <v>1381567499.7</v>
      </c>
      <c r="L85" s="116">
        <v>2230407180</v>
      </c>
      <c r="M85" s="116">
        <v>2189427660</v>
      </c>
      <c r="N85" s="116">
        <v>2013211598.0999999</v>
      </c>
    </row>
    <row r="87" spans="1:17">
      <c r="K87" s="116">
        <v>-1007260795.3</v>
      </c>
      <c r="L87" s="116">
        <v>0</v>
      </c>
      <c r="M87" s="116">
        <v>0</v>
      </c>
      <c r="N87" s="116">
        <v>-18660701.900000095</v>
      </c>
    </row>
    <row r="90" spans="1:17">
      <c r="E90" s="532">
        <v>4325052806.1199999</v>
      </c>
      <c r="F90" s="532">
        <v>1713214869.1599998</v>
      </c>
      <c r="G90" s="532">
        <v>2644902683.8000002</v>
      </c>
      <c r="H90" s="532">
        <v>1511242012</v>
      </c>
      <c r="I90" s="532">
        <v>2085725106.8</v>
      </c>
      <c r="J90" s="532">
        <v>2994413621</v>
      </c>
      <c r="K90" s="532">
        <v>2838332752.6999998</v>
      </c>
      <c r="L90" s="532">
        <v>2106329470.3500004</v>
      </c>
      <c r="M90" s="532">
        <v>1292409370.8</v>
      </c>
      <c r="N90" s="532">
        <v>1211560256.1377172</v>
      </c>
      <c r="O90" s="532">
        <v>1976679402.6500001</v>
      </c>
      <c r="P90" s="532">
        <v>2061605411.5</v>
      </c>
      <c r="Q90" s="532">
        <v>1657937787.55</v>
      </c>
    </row>
    <row r="91" spans="1:17">
      <c r="E91" s="532">
        <v>22723182948.867718</v>
      </c>
      <c r="F91" s="532">
        <v>20374809545.39772</v>
      </c>
    </row>
    <row r="95" spans="1:17">
      <c r="A95" t="s">
        <v>586</v>
      </c>
      <c r="B95" s="532">
        <f>'2017 CF'!M12+'2017 CF'!M21+'2017 CF'!M26</f>
        <v>82005055.920000136</v>
      </c>
    </row>
    <row r="96" spans="1:17">
      <c r="A96" t="s">
        <v>587</v>
      </c>
      <c r="B96" s="532">
        <f>'2017 CF'!L12+'2017 CF'!L26+'2018 CF'!L14+'2018 CF'!L31+'2018 CF'!L37+'2018 CF'!L48+'2019 CF'!L18+'2019 CF'!L40+'2019 CF'!L65+'2019 CF'!L70</f>
        <v>2160654107.2744999</v>
      </c>
    </row>
    <row r="97" spans="1:2">
      <c r="A97" t="s">
        <v>588</v>
      </c>
      <c r="B97" s="532">
        <f>'2018 CF'!M14+'2018 CF'!M31+'2018 CF'!M37+'2018 CF'!M48+'2019 CF'!M18+'2019 CF'!M40+'2019 CF'!M65+'2019 CF'!M70</f>
        <v>1133331740.9000001</v>
      </c>
    </row>
    <row r="98" spans="1:2">
      <c r="A98" t="s">
        <v>582</v>
      </c>
      <c r="B98" s="532">
        <f>'2020 CF'!M41+'2020 CF'!M76+'2020 CF'!M81</f>
        <v>1748704688</v>
      </c>
    </row>
    <row r="99" spans="1:2">
      <c r="A99" t="s">
        <v>583</v>
      </c>
      <c r="B99" s="666">
        <f>'2020 CF'!F24</f>
        <v>96023000.300000072</v>
      </c>
    </row>
    <row r="100" spans="1:2">
      <c r="A100" t="s">
        <v>589</v>
      </c>
      <c r="B100" s="532">
        <f>SUM(B98:B99)</f>
        <v>1844727688.3000002</v>
      </c>
    </row>
    <row r="101" spans="1:2">
      <c r="A101" t="s">
        <v>584</v>
      </c>
      <c r="B101" s="532">
        <f>'Aug 15'!N50+'SC1 MRB'!N20+'SC2 State Voted'!L9+'SC3 Small Issue IDBs'!L11+'SC4 TSAHC'!L19+'SC4 MF- TDHCA'!L29+'SC4 MF- Local Collapse'!L44+'REGION 1'!L9+'REGION 2'!L8+'REGION 3'!L15+'REGION 4'!L8+'REGION 5'!L8+'REGION 6'!L16+'REGION 7'!L16+'REGION 8'!L8+'REGION 9'!L14+'REGION 10'!L8+'REGION 11'!L8+'REGION 12'!L9+'REGION 13'!L8+'SC5 OTHER'!L76</f>
        <v>1199839816.7</v>
      </c>
    </row>
    <row r="103" spans="1:2">
      <c r="A103" t="s">
        <v>585</v>
      </c>
      <c r="B103" s="667">
        <f>B101+B100</f>
        <v>3044567505</v>
      </c>
    </row>
    <row r="104" spans="1:2">
      <c r="A104" t="s">
        <v>590</v>
      </c>
      <c r="B104" s="667">
        <f>B103+B97+B96+B95</f>
        <v>6420558409.0944996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1C91-EE65-4E32-B002-1192F53878F3}">
  <dimension ref="A1:T60"/>
  <sheetViews>
    <sheetView workbookViewId="0">
      <selection activeCell="A47" sqref="A47:XFD47"/>
    </sheetView>
  </sheetViews>
  <sheetFormatPr defaultColWidth="9" defaultRowHeight="12"/>
  <cols>
    <col min="1" max="1" width="9.28515625" style="1" bestFit="1" customWidth="1"/>
    <col min="2" max="2" width="13.28515625" style="1" bestFit="1" customWidth="1"/>
    <col min="3" max="3" width="36.42578125" style="1" bestFit="1" customWidth="1"/>
    <col min="4" max="4" width="42.140625" style="1" customWidth="1"/>
    <col min="5" max="5" width="15.42578125" style="1" bestFit="1" customWidth="1"/>
    <col min="6" max="9" width="14" style="1" bestFit="1" customWidth="1"/>
    <col min="10" max="10" width="13.7109375" style="1" bestFit="1" customWidth="1"/>
    <col min="11" max="11" width="10.85546875" style="1" bestFit="1" customWidth="1"/>
    <col min="12" max="12" width="14.7109375" style="1" bestFit="1" customWidth="1"/>
    <col min="13" max="13" width="10.85546875" style="3" bestFit="1" customWidth="1"/>
    <col min="14" max="14" width="15.28515625" style="1" bestFit="1" customWidth="1"/>
    <col min="15" max="15" width="12.5703125" style="1" bestFit="1" customWidth="1"/>
    <col min="16" max="16" width="10.5703125" style="1" bestFit="1" customWidth="1"/>
    <col min="17" max="16384" width="9" style="1"/>
  </cols>
  <sheetData>
    <row r="1" spans="1:17">
      <c r="A1" s="601">
        <v>41865</v>
      </c>
      <c r="B1" s="602">
        <f>'SC1 MRB'!F26+'SC2 State Voted'!F13+'SC3 Small Issue IDBs'!F15+'SC4 TSAHC'!F23+'SC4 MF- TDHCA'!F33+'SC4 MF- Local Collapse'!F48+'SC5 OTHER'!F80</f>
        <v>982595000.30000007</v>
      </c>
      <c r="C1" s="22"/>
      <c r="D1" s="22"/>
      <c r="E1" s="22"/>
      <c r="F1" s="603"/>
      <c r="G1" s="603"/>
      <c r="H1" s="603"/>
      <c r="I1" s="23"/>
      <c r="J1" s="26"/>
      <c r="K1" s="24"/>
      <c r="L1" s="25"/>
      <c r="M1" s="26"/>
      <c r="N1" s="23"/>
      <c r="O1" s="23"/>
      <c r="P1" s="27"/>
    </row>
    <row r="2" spans="1:17">
      <c r="A2" s="29" t="s">
        <v>532</v>
      </c>
      <c r="B2" s="5"/>
      <c r="C2" s="604"/>
      <c r="D2" s="604"/>
      <c r="E2" s="604"/>
      <c r="F2" s="445"/>
      <c r="G2" s="445"/>
      <c r="H2" s="445"/>
      <c r="I2" s="31"/>
      <c r="J2" s="15"/>
      <c r="K2" s="32"/>
      <c r="L2" s="51"/>
      <c r="M2" s="15"/>
      <c r="N2" s="31"/>
      <c r="O2" s="31"/>
      <c r="P2" s="35"/>
    </row>
    <row r="3" spans="1:17">
      <c r="A3" s="29"/>
      <c r="B3" s="5"/>
      <c r="C3" s="604"/>
      <c r="D3" s="604"/>
      <c r="E3" s="604"/>
      <c r="F3" s="445"/>
      <c r="G3" s="445"/>
      <c r="H3" s="445"/>
      <c r="I3" s="31"/>
      <c r="J3" s="15"/>
      <c r="K3" s="15"/>
      <c r="L3" s="31"/>
      <c r="M3" s="15"/>
      <c r="N3" s="31"/>
      <c r="O3" s="31"/>
      <c r="P3" s="35"/>
    </row>
    <row r="4" spans="1:17">
      <c r="A4" s="37" t="s">
        <v>34</v>
      </c>
      <c r="B4" s="5" t="s">
        <v>39</v>
      </c>
      <c r="C4" s="5"/>
      <c r="D4" s="5"/>
      <c r="E4" s="5"/>
      <c r="F4" s="547" t="s">
        <v>24</v>
      </c>
      <c r="G4" s="196" t="s">
        <v>40</v>
      </c>
      <c r="H4" s="104" t="s">
        <v>53</v>
      </c>
      <c r="I4" s="38" t="s">
        <v>8</v>
      </c>
      <c r="J4" s="7" t="s">
        <v>14</v>
      </c>
      <c r="K4" s="7" t="s">
        <v>36</v>
      </c>
      <c r="L4" s="38" t="s">
        <v>4</v>
      </c>
      <c r="M4" s="7" t="s">
        <v>533</v>
      </c>
      <c r="N4" s="38" t="s">
        <v>28</v>
      </c>
      <c r="O4" s="38" t="s">
        <v>46</v>
      </c>
      <c r="P4" s="35" t="s">
        <v>23</v>
      </c>
    </row>
    <row r="5" spans="1:17">
      <c r="A5" s="37" t="s">
        <v>50</v>
      </c>
      <c r="B5" s="17"/>
      <c r="C5" s="5"/>
      <c r="D5" s="604"/>
      <c r="E5" s="604"/>
      <c r="F5" s="547" t="s">
        <v>44</v>
      </c>
      <c r="G5" s="196" t="s">
        <v>48</v>
      </c>
      <c r="H5" s="104" t="s">
        <v>44</v>
      </c>
      <c r="I5" s="38" t="s">
        <v>44</v>
      </c>
      <c r="J5" s="7" t="s">
        <v>9</v>
      </c>
      <c r="K5" s="7" t="s">
        <v>18</v>
      </c>
      <c r="L5" s="38" t="s">
        <v>44</v>
      </c>
      <c r="M5" s="7" t="s">
        <v>18</v>
      </c>
      <c r="N5" s="38" t="s">
        <v>44</v>
      </c>
      <c r="O5" s="38" t="s">
        <v>44</v>
      </c>
      <c r="P5" s="35" t="s">
        <v>5</v>
      </c>
    </row>
    <row r="6" spans="1:17" ht="12.75" thickBot="1">
      <c r="A6" s="44" t="s">
        <v>17</v>
      </c>
      <c r="B6" s="45"/>
      <c r="C6" s="39" t="s">
        <v>32</v>
      </c>
      <c r="D6" s="46" t="s">
        <v>51</v>
      </c>
      <c r="E6" s="46" t="s">
        <v>47</v>
      </c>
      <c r="F6" s="605"/>
      <c r="G6" s="605"/>
      <c r="H6" s="605"/>
      <c r="I6" s="74"/>
      <c r="J6" s="47"/>
      <c r="K6" s="47"/>
      <c r="L6" s="74"/>
      <c r="M6" s="47"/>
      <c r="N6" s="74"/>
      <c r="O6" s="74"/>
      <c r="P6" s="48" t="s">
        <v>9</v>
      </c>
    </row>
    <row r="7" spans="1:17">
      <c r="A7" s="52">
        <v>4651</v>
      </c>
      <c r="B7" s="52" t="s">
        <v>80</v>
      </c>
      <c r="C7" s="297" t="s">
        <v>260</v>
      </c>
      <c r="D7" s="129" t="s">
        <v>424</v>
      </c>
      <c r="E7" s="129" t="s">
        <v>83</v>
      </c>
      <c r="F7" s="615">
        <v>50000000</v>
      </c>
      <c r="G7" s="1" t="s">
        <v>161</v>
      </c>
      <c r="H7" s="90">
        <v>50000000</v>
      </c>
      <c r="I7" s="90">
        <v>50000000</v>
      </c>
      <c r="J7" s="3">
        <v>42599</v>
      </c>
      <c r="K7" s="3">
        <f>J7+35</f>
        <v>42634</v>
      </c>
      <c r="L7" s="90">
        <v>50000000</v>
      </c>
      <c r="M7" s="3">
        <f>J7+180</f>
        <v>42779</v>
      </c>
      <c r="O7" s="3"/>
    </row>
    <row r="8" spans="1:17">
      <c r="A8" s="52">
        <v>4652</v>
      </c>
      <c r="B8" s="52" t="s">
        <v>80</v>
      </c>
      <c r="C8" s="297" t="s">
        <v>315</v>
      </c>
      <c r="D8" s="129" t="s">
        <v>433</v>
      </c>
      <c r="E8" s="129" t="s">
        <v>317</v>
      </c>
      <c r="F8" s="615">
        <v>35000000</v>
      </c>
      <c r="G8" s="1" t="s">
        <v>161</v>
      </c>
      <c r="H8" s="90">
        <v>35000000</v>
      </c>
      <c r="I8" s="90">
        <v>35000000</v>
      </c>
      <c r="J8" s="3">
        <v>42599</v>
      </c>
      <c r="K8" s="3">
        <f t="shared" ref="K8:K28" si="0">J8+35</f>
        <v>42634</v>
      </c>
      <c r="L8" s="90">
        <v>35000000</v>
      </c>
      <c r="M8" s="3">
        <f t="shared" ref="M8:M42" si="1">J8+180</f>
        <v>42779</v>
      </c>
    </row>
    <row r="9" spans="1:17">
      <c r="A9" s="52">
        <v>4653</v>
      </c>
      <c r="B9" s="52" t="s">
        <v>86</v>
      </c>
      <c r="C9" s="52" t="s">
        <v>292</v>
      </c>
      <c r="D9" s="52" t="s">
        <v>330</v>
      </c>
      <c r="E9" s="52" t="s">
        <v>151</v>
      </c>
      <c r="F9" s="621">
        <v>50000000</v>
      </c>
      <c r="G9" s="1" t="s">
        <v>161</v>
      </c>
      <c r="H9" s="619">
        <v>50000000</v>
      </c>
      <c r="I9" s="619">
        <v>50000000</v>
      </c>
      <c r="J9" s="3">
        <v>42599</v>
      </c>
      <c r="K9" s="3">
        <f t="shared" si="0"/>
        <v>42634</v>
      </c>
      <c r="L9" s="619">
        <v>50000000</v>
      </c>
      <c r="M9" s="3">
        <f t="shared" si="1"/>
        <v>42779</v>
      </c>
      <c r="N9" s="368">
        <v>35797000</v>
      </c>
      <c r="O9" s="107">
        <f>I9-N9</f>
        <v>14203000</v>
      </c>
      <c r="P9" s="3">
        <v>42725</v>
      </c>
    </row>
    <row r="10" spans="1:17">
      <c r="A10" s="52">
        <v>4654</v>
      </c>
      <c r="B10" s="52" t="s">
        <v>80</v>
      </c>
      <c r="C10" s="595" t="s">
        <v>444</v>
      </c>
      <c r="D10" s="52" t="s">
        <v>445</v>
      </c>
      <c r="E10" s="52" t="s">
        <v>446</v>
      </c>
      <c r="F10" s="621">
        <v>25000000</v>
      </c>
      <c r="G10" s="1" t="s">
        <v>161</v>
      </c>
      <c r="H10" s="619">
        <v>25000000</v>
      </c>
      <c r="I10" s="619">
        <v>25000000</v>
      </c>
      <c r="J10" s="3">
        <v>42599</v>
      </c>
      <c r="K10" s="3">
        <f t="shared" si="0"/>
        <v>42634</v>
      </c>
      <c r="L10" s="619">
        <v>25000000</v>
      </c>
      <c r="M10" s="3">
        <f t="shared" si="1"/>
        <v>42779</v>
      </c>
    </row>
    <row r="11" spans="1:17">
      <c r="A11" s="52">
        <v>4655</v>
      </c>
      <c r="B11" s="52" t="s">
        <v>360</v>
      </c>
      <c r="C11" s="52" t="s">
        <v>224</v>
      </c>
      <c r="D11" s="52" t="s">
        <v>449</v>
      </c>
      <c r="E11" s="52" t="s">
        <v>85</v>
      </c>
      <c r="F11" s="621">
        <v>15000000</v>
      </c>
      <c r="G11" s="1" t="s">
        <v>161</v>
      </c>
      <c r="H11" s="619">
        <v>15000000</v>
      </c>
      <c r="I11" s="619">
        <v>15000000</v>
      </c>
      <c r="J11" s="3">
        <v>42599</v>
      </c>
      <c r="K11" s="3">
        <f t="shared" si="0"/>
        <v>42634</v>
      </c>
      <c r="L11" s="619">
        <v>15000000</v>
      </c>
      <c r="M11" s="3">
        <f t="shared" si="1"/>
        <v>42779</v>
      </c>
      <c r="N11" s="107">
        <v>0</v>
      </c>
      <c r="O11" s="107">
        <f>I11-N11</f>
        <v>15000000</v>
      </c>
      <c r="P11" s="3">
        <v>42661</v>
      </c>
    </row>
    <row r="12" spans="1:17">
      <c r="A12" s="52">
        <v>4656</v>
      </c>
      <c r="B12" s="52" t="s">
        <v>360</v>
      </c>
      <c r="C12" s="129" t="s">
        <v>324</v>
      </c>
      <c r="D12" s="52" t="s">
        <v>451</v>
      </c>
      <c r="E12" s="52" t="s">
        <v>83</v>
      </c>
      <c r="F12" s="621">
        <v>20000000</v>
      </c>
      <c r="G12" s="1" t="s">
        <v>161</v>
      </c>
      <c r="H12" s="619">
        <v>20000000</v>
      </c>
      <c r="I12" s="619">
        <v>20000000</v>
      </c>
      <c r="J12" s="3">
        <v>42599</v>
      </c>
      <c r="K12" s="3">
        <f t="shared" si="0"/>
        <v>42634</v>
      </c>
      <c r="L12" s="311">
        <v>16500000</v>
      </c>
      <c r="M12" s="3">
        <f t="shared" si="1"/>
        <v>42779</v>
      </c>
      <c r="N12" s="107">
        <v>0</v>
      </c>
      <c r="O12" s="107">
        <f>I12-N12</f>
        <v>20000000</v>
      </c>
      <c r="P12" s="3">
        <v>42689</v>
      </c>
    </row>
    <row r="13" spans="1:17">
      <c r="A13" s="52">
        <v>4657</v>
      </c>
      <c r="B13" s="52" t="s">
        <v>80</v>
      </c>
      <c r="C13" s="129" t="s">
        <v>457</v>
      </c>
      <c r="D13" s="52" t="s">
        <v>458</v>
      </c>
      <c r="E13" s="52" t="s">
        <v>82</v>
      </c>
      <c r="F13" s="621">
        <v>50000000</v>
      </c>
      <c r="G13" s="1" t="s">
        <v>161</v>
      </c>
      <c r="H13" s="619">
        <v>50000000</v>
      </c>
      <c r="I13" s="619">
        <v>50000000</v>
      </c>
      <c r="J13" s="3">
        <v>42599</v>
      </c>
      <c r="K13" s="3">
        <f t="shared" si="0"/>
        <v>42634</v>
      </c>
      <c r="L13" s="619">
        <v>50000000</v>
      </c>
      <c r="M13" s="3">
        <f t="shared" si="1"/>
        <v>42779</v>
      </c>
    </row>
    <row r="14" spans="1:17">
      <c r="A14" s="52">
        <v>4658</v>
      </c>
      <c r="B14" s="52" t="s">
        <v>86</v>
      </c>
      <c r="C14" s="129" t="s">
        <v>457</v>
      </c>
      <c r="D14" s="52" t="s">
        <v>460</v>
      </c>
      <c r="E14" s="52" t="s">
        <v>82</v>
      </c>
      <c r="F14" s="621">
        <v>40000000</v>
      </c>
      <c r="G14" s="1" t="s">
        <v>161</v>
      </c>
      <c r="H14" s="619">
        <v>40000000</v>
      </c>
      <c r="I14" s="619">
        <v>40000000</v>
      </c>
      <c r="J14" s="3">
        <v>42599</v>
      </c>
      <c r="K14" s="3">
        <f t="shared" si="0"/>
        <v>42634</v>
      </c>
      <c r="L14" s="619">
        <v>40000000</v>
      </c>
      <c r="M14" s="3">
        <f t="shared" si="1"/>
        <v>42779</v>
      </c>
      <c r="N14" s="368">
        <v>22600000</v>
      </c>
      <c r="O14" s="107">
        <f>I14-N14</f>
        <v>17400000</v>
      </c>
      <c r="P14" s="3">
        <v>42721</v>
      </c>
      <c r="Q14" s="1" t="s">
        <v>357</v>
      </c>
    </row>
    <row r="15" spans="1:17">
      <c r="A15" s="52">
        <v>4659</v>
      </c>
      <c r="B15" s="52" t="s">
        <v>80</v>
      </c>
      <c r="C15" s="129" t="s">
        <v>260</v>
      </c>
      <c r="D15" s="52" t="s">
        <v>462</v>
      </c>
      <c r="E15" s="52" t="s">
        <v>83</v>
      </c>
      <c r="F15" s="621">
        <v>10000000</v>
      </c>
      <c r="G15" s="1" t="s">
        <v>161</v>
      </c>
      <c r="H15" s="619">
        <v>10000000</v>
      </c>
      <c r="I15" s="619">
        <v>10000000</v>
      </c>
      <c r="J15" s="3">
        <v>42599</v>
      </c>
      <c r="K15" s="3">
        <f t="shared" si="0"/>
        <v>42634</v>
      </c>
      <c r="L15" s="619">
        <v>10000000</v>
      </c>
      <c r="M15" s="3">
        <f t="shared" si="1"/>
        <v>42779</v>
      </c>
    </row>
    <row r="16" spans="1:17">
      <c r="A16" s="129">
        <v>4660</v>
      </c>
      <c r="B16" s="52" t="s">
        <v>86</v>
      </c>
      <c r="C16" s="129" t="s">
        <v>79</v>
      </c>
      <c r="D16" s="129" t="s">
        <v>465</v>
      </c>
      <c r="E16" s="129" t="s">
        <v>103</v>
      </c>
      <c r="F16" s="615">
        <v>40000000</v>
      </c>
      <c r="G16" s="1" t="s">
        <v>161</v>
      </c>
      <c r="H16" s="90">
        <v>40000000</v>
      </c>
      <c r="I16" s="90">
        <v>40000000</v>
      </c>
      <c r="J16" s="3">
        <v>42606</v>
      </c>
      <c r="K16" s="3">
        <f t="shared" si="0"/>
        <v>42641</v>
      </c>
      <c r="L16" s="90">
        <v>40000000</v>
      </c>
      <c r="M16" s="3">
        <f t="shared" si="1"/>
        <v>42786</v>
      </c>
      <c r="N16" s="368">
        <v>40000000</v>
      </c>
      <c r="O16" s="107">
        <f>I16-N16</f>
        <v>0</v>
      </c>
      <c r="P16" s="3">
        <v>42725</v>
      </c>
    </row>
    <row r="17" spans="1:20">
      <c r="A17" s="129">
        <v>4661</v>
      </c>
      <c r="B17" s="52" t="s">
        <v>358</v>
      </c>
      <c r="C17" s="129" t="s">
        <v>324</v>
      </c>
      <c r="D17" s="52" t="s">
        <v>470</v>
      </c>
      <c r="E17" s="52" t="s">
        <v>83</v>
      </c>
      <c r="F17" s="621">
        <v>39000000</v>
      </c>
      <c r="G17" s="1" t="s">
        <v>161</v>
      </c>
      <c r="H17" s="619">
        <v>39000000</v>
      </c>
      <c r="I17" s="619">
        <v>39000000</v>
      </c>
      <c r="J17" s="3">
        <v>42606</v>
      </c>
      <c r="K17" s="3">
        <f t="shared" si="0"/>
        <v>42641</v>
      </c>
      <c r="L17" s="619">
        <v>39000000</v>
      </c>
      <c r="M17" s="3">
        <f t="shared" si="1"/>
        <v>42786</v>
      </c>
      <c r="N17" s="619">
        <v>39000000</v>
      </c>
      <c r="O17" s="107">
        <f>I17-N17</f>
        <v>0</v>
      </c>
      <c r="P17" s="3">
        <v>42732</v>
      </c>
    </row>
    <row r="18" spans="1:20">
      <c r="A18" s="129">
        <v>4662</v>
      </c>
      <c r="B18" s="52" t="s">
        <v>80</v>
      </c>
      <c r="C18" s="129" t="s">
        <v>79</v>
      </c>
      <c r="D18" s="129" t="s">
        <v>469</v>
      </c>
      <c r="E18" s="129" t="s">
        <v>82</v>
      </c>
      <c r="F18" s="615">
        <v>45000000</v>
      </c>
      <c r="G18" s="1" t="s">
        <v>161</v>
      </c>
      <c r="H18" s="90">
        <v>45000000</v>
      </c>
      <c r="I18" s="90">
        <v>45000000</v>
      </c>
      <c r="J18" s="3">
        <v>42609</v>
      </c>
      <c r="K18" s="3">
        <f t="shared" si="0"/>
        <v>42644</v>
      </c>
      <c r="L18" s="90">
        <v>45000000</v>
      </c>
      <c r="M18" s="3">
        <f t="shared" si="1"/>
        <v>42789</v>
      </c>
    </row>
    <row r="19" spans="1:20">
      <c r="A19" s="129">
        <v>4663</v>
      </c>
      <c r="B19" s="52" t="s">
        <v>86</v>
      </c>
      <c r="C19" s="129" t="s">
        <v>381</v>
      </c>
      <c r="D19" s="52" t="s">
        <v>380</v>
      </c>
      <c r="E19" s="129" t="s">
        <v>230</v>
      </c>
      <c r="F19" s="621">
        <v>30000000</v>
      </c>
      <c r="G19" s="1" t="s">
        <v>161</v>
      </c>
      <c r="H19" s="619">
        <v>30000000</v>
      </c>
      <c r="I19" s="619">
        <v>30000000</v>
      </c>
      <c r="J19" s="3">
        <v>42609</v>
      </c>
      <c r="K19" s="3">
        <f t="shared" si="0"/>
        <v>42644</v>
      </c>
      <c r="L19" s="619">
        <v>30000000</v>
      </c>
      <c r="M19" s="3">
        <f t="shared" si="1"/>
        <v>42789</v>
      </c>
      <c r="N19" s="368">
        <v>7300000</v>
      </c>
      <c r="O19" s="107">
        <f>I19-N19</f>
        <v>22700000</v>
      </c>
      <c r="P19" s="3">
        <v>42693</v>
      </c>
    </row>
    <row r="20" spans="1:20">
      <c r="A20" s="129">
        <v>4664</v>
      </c>
      <c r="B20" s="52" t="s">
        <v>80</v>
      </c>
      <c r="C20" s="52" t="s">
        <v>391</v>
      </c>
      <c r="D20" s="52" t="s">
        <v>483</v>
      </c>
      <c r="E20" s="129" t="s">
        <v>393</v>
      </c>
      <c r="F20" s="621">
        <v>30000000</v>
      </c>
      <c r="G20" s="1" t="s">
        <v>161</v>
      </c>
      <c r="H20" s="619">
        <v>30000000</v>
      </c>
      <c r="I20" s="619">
        <v>30000000</v>
      </c>
      <c r="J20" s="3">
        <v>42613</v>
      </c>
      <c r="K20" s="3">
        <f t="shared" si="0"/>
        <v>42648</v>
      </c>
      <c r="L20" s="619">
        <v>30000000</v>
      </c>
      <c r="M20" s="3">
        <f t="shared" si="1"/>
        <v>42793</v>
      </c>
    </row>
    <row r="21" spans="1:20">
      <c r="A21" s="371">
        <v>4665</v>
      </c>
      <c r="B21" s="52" t="s">
        <v>80</v>
      </c>
      <c r="C21" s="52" t="s">
        <v>292</v>
      </c>
      <c r="D21" s="52" t="s">
        <v>332</v>
      </c>
      <c r="E21" s="129" t="s">
        <v>159</v>
      </c>
      <c r="F21" s="621">
        <v>30000000</v>
      </c>
      <c r="G21" s="1" t="s">
        <v>161</v>
      </c>
      <c r="H21" s="619">
        <v>30000000</v>
      </c>
      <c r="I21" s="619">
        <v>30000000</v>
      </c>
      <c r="J21" s="3">
        <v>42616</v>
      </c>
      <c r="K21" s="3">
        <f t="shared" si="0"/>
        <v>42651</v>
      </c>
      <c r="L21" s="619">
        <v>30000000</v>
      </c>
      <c r="M21" s="3">
        <f t="shared" si="1"/>
        <v>42796</v>
      </c>
    </row>
    <row r="22" spans="1:20">
      <c r="A22" s="371">
        <v>4666</v>
      </c>
      <c r="B22" s="52" t="s">
        <v>80</v>
      </c>
      <c r="C22" s="129" t="s">
        <v>79</v>
      </c>
      <c r="D22" s="129" t="s">
        <v>491</v>
      </c>
      <c r="E22" s="129" t="s">
        <v>82</v>
      </c>
      <c r="F22" s="615">
        <v>35000000</v>
      </c>
      <c r="G22" s="1" t="s">
        <v>161</v>
      </c>
      <c r="H22" s="90">
        <v>35000000</v>
      </c>
      <c r="I22" s="90">
        <v>35000000</v>
      </c>
      <c r="J22" s="3">
        <v>42628</v>
      </c>
      <c r="K22" s="3">
        <f t="shared" si="0"/>
        <v>42663</v>
      </c>
      <c r="L22" s="90">
        <v>35000000</v>
      </c>
      <c r="M22" s="3">
        <f t="shared" si="1"/>
        <v>42808</v>
      </c>
      <c r="N22" s="3"/>
    </row>
    <row r="23" spans="1:20">
      <c r="A23" s="371">
        <v>4667</v>
      </c>
      <c r="B23" s="52" t="s">
        <v>80</v>
      </c>
      <c r="C23" s="129" t="s">
        <v>79</v>
      </c>
      <c r="D23" s="129" t="s">
        <v>493</v>
      </c>
      <c r="E23" s="129" t="s">
        <v>85</v>
      </c>
      <c r="F23" s="615">
        <v>35000000</v>
      </c>
      <c r="G23" s="1" t="s">
        <v>161</v>
      </c>
      <c r="H23" s="90">
        <v>35000000</v>
      </c>
      <c r="I23" s="90">
        <v>35000000</v>
      </c>
      <c r="J23" s="3">
        <v>42628</v>
      </c>
      <c r="K23" s="3">
        <f t="shared" si="0"/>
        <v>42663</v>
      </c>
      <c r="L23" s="90">
        <v>35000000</v>
      </c>
      <c r="M23" s="3">
        <f t="shared" si="1"/>
        <v>42808</v>
      </c>
    </row>
    <row r="24" spans="1:20">
      <c r="A24" s="371">
        <v>4668</v>
      </c>
      <c r="B24" s="52" t="s">
        <v>360</v>
      </c>
      <c r="C24" s="52" t="s">
        <v>292</v>
      </c>
      <c r="D24" s="52" t="s">
        <v>495</v>
      </c>
      <c r="E24" s="129" t="s">
        <v>496</v>
      </c>
      <c r="F24" s="621">
        <v>28000000</v>
      </c>
      <c r="G24" s="1" t="s">
        <v>161</v>
      </c>
      <c r="H24" s="619">
        <v>28000000</v>
      </c>
      <c r="I24" s="619">
        <v>28000000</v>
      </c>
      <c r="J24" s="3">
        <v>42628</v>
      </c>
      <c r="K24" s="3">
        <f t="shared" si="0"/>
        <v>42663</v>
      </c>
      <c r="L24" s="107">
        <v>0</v>
      </c>
      <c r="M24" s="3">
        <f t="shared" si="1"/>
        <v>42808</v>
      </c>
      <c r="N24" s="107">
        <v>0</v>
      </c>
      <c r="O24" s="107">
        <f>I24-N24</f>
        <v>28000000</v>
      </c>
      <c r="P24" s="3">
        <v>42656</v>
      </c>
    </row>
    <row r="25" spans="1:20" s="17" customFormat="1">
      <c r="A25" s="371">
        <v>4669</v>
      </c>
      <c r="B25" s="52" t="s">
        <v>80</v>
      </c>
      <c r="C25" s="52" t="s">
        <v>497</v>
      </c>
      <c r="D25" s="52" t="s">
        <v>498</v>
      </c>
      <c r="E25" s="129" t="s">
        <v>85</v>
      </c>
      <c r="F25" s="621">
        <v>35000000</v>
      </c>
      <c r="G25" s="1" t="s">
        <v>161</v>
      </c>
      <c r="H25" s="619">
        <v>35000000</v>
      </c>
      <c r="I25" s="619">
        <v>35000000</v>
      </c>
      <c r="J25" s="3">
        <v>42628</v>
      </c>
      <c r="K25" s="3">
        <f t="shared" si="0"/>
        <v>42663</v>
      </c>
      <c r="L25" s="619">
        <v>35000000</v>
      </c>
      <c r="M25" s="3">
        <f t="shared" si="1"/>
        <v>42808</v>
      </c>
      <c r="N25" s="107"/>
      <c r="O25" s="36"/>
      <c r="P25" s="36"/>
      <c r="Q25" s="36"/>
      <c r="R25" s="36"/>
      <c r="S25" s="36"/>
      <c r="T25" s="36"/>
    </row>
    <row r="26" spans="1:20" s="17" customFormat="1">
      <c r="A26" s="371">
        <v>4670</v>
      </c>
      <c r="B26" s="52" t="s">
        <v>80</v>
      </c>
      <c r="C26" s="129" t="s">
        <v>79</v>
      </c>
      <c r="D26" s="129" t="s">
        <v>504</v>
      </c>
      <c r="E26" s="129" t="s">
        <v>238</v>
      </c>
      <c r="F26" s="615">
        <v>14000000</v>
      </c>
      <c r="G26" s="1" t="s">
        <v>161</v>
      </c>
      <c r="H26" s="90">
        <v>14000000</v>
      </c>
      <c r="I26" s="90">
        <v>14000000</v>
      </c>
      <c r="J26" s="3">
        <v>42628</v>
      </c>
      <c r="K26" s="3">
        <f t="shared" si="0"/>
        <v>42663</v>
      </c>
      <c r="L26" s="90">
        <v>14000000</v>
      </c>
      <c r="M26" s="3">
        <f t="shared" si="1"/>
        <v>42808</v>
      </c>
      <c r="N26" s="34"/>
      <c r="O26" s="36"/>
      <c r="P26" s="36"/>
      <c r="Q26" s="36"/>
      <c r="R26" s="36"/>
      <c r="S26" s="36"/>
      <c r="T26" s="36"/>
    </row>
    <row r="27" spans="1:20" s="17" customFormat="1">
      <c r="A27" s="371">
        <v>4671</v>
      </c>
      <c r="B27" s="52" t="s">
        <v>86</v>
      </c>
      <c r="C27" s="52" t="s">
        <v>514</v>
      </c>
      <c r="D27" s="129" t="s">
        <v>515</v>
      </c>
      <c r="E27" s="129" t="s">
        <v>516</v>
      </c>
      <c r="F27" s="622">
        <v>100000000</v>
      </c>
      <c r="G27" s="1" t="s">
        <v>161</v>
      </c>
      <c r="H27" s="622">
        <v>100000000</v>
      </c>
      <c r="I27" s="622">
        <v>100000000</v>
      </c>
      <c r="J27" s="635">
        <v>42633</v>
      </c>
      <c r="K27" s="340">
        <f t="shared" si="0"/>
        <v>42668</v>
      </c>
      <c r="L27" s="90">
        <v>30000000</v>
      </c>
      <c r="M27" s="635">
        <f>J27+150</f>
        <v>42783</v>
      </c>
      <c r="N27" s="445">
        <v>22000000</v>
      </c>
      <c r="O27" s="107">
        <f>I27-N27</f>
        <v>78000000</v>
      </c>
      <c r="P27" s="34">
        <v>42732</v>
      </c>
      <c r="Q27" s="36"/>
      <c r="R27" s="36"/>
      <c r="S27" s="36"/>
      <c r="T27" s="36"/>
    </row>
    <row r="28" spans="1:20" s="17" customFormat="1">
      <c r="A28" s="371">
        <v>4672</v>
      </c>
      <c r="B28" s="52" t="s">
        <v>80</v>
      </c>
      <c r="C28" s="52" t="s">
        <v>290</v>
      </c>
      <c r="D28" s="52" t="s">
        <v>518</v>
      </c>
      <c r="E28" s="129" t="s">
        <v>83</v>
      </c>
      <c r="F28" s="621">
        <v>22000000</v>
      </c>
      <c r="G28" s="1" t="s">
        <v>161</v>
      </c>
      <c r="H28" s="619">
        <v>22000000</v>
      </c>
      <c r="I28" s="619">
        <v>22000000</v>
      </c>
      <c r="J28" s="635">
        <v>42658</v>
      </c>
      <c r="K28" s="340">
        <f t="shared" si="0"/>
        <v>42693</v>
      </c>
      <c r="L28" s="619">
        <v>22000000</v>
      </c>
      <c r="M28" s="316">
        <f t="shared" si="1"/>
        <v>42838</v>
      </c>
      <c r="N28" s="34"/>
      <c r="O28" s="36"/>
      <c r="P28" s="36"/>
      <c r="Q28" s="36"/>
      <c r="R28" s="36"/>
      <c r="S28" s="36"/>
      <c r="T28" s="36"/>
    </row>
    <row r="29" spans="1:20" s="17" customFormat="1">
      <c r="A29" s="371">
        <v>4673</v>
      </c>
      <c r="B29" s="52" t="s">
        <v>80</v>
      </c>
      <c r="C29" s="52" t="s">
        <v>520</v>
      </c>
      <c r="D29" s="129" t="s">
        <v>521</v>
      </c>
      <c r="E29" s="129" t="s">
        <v>522</v>
      </c>
      <c r="F29" s="622">
        <v>14000000</v>
      </c>
      <c r="G29" s="1" t="s">
        <v>161</v>
      </c>
      <c r="H29" s="620">
        <v>14000000</v>
      </c>
      <c r="I29" s="620">
        <v>14000000</v>
      </c>
      <c r="J29" s="635">
        <v>42658</v>
      </c>
      <c r="K29" s="340">
        <f t="shared" ref="K29:K43" si="2">J29+35</f>
        <v>42693</v>
      </c>
      <c r="L29" s="620">
        <v>14000000</v>
      </c>
      <c r="M29" s="316">
        <f t="shared" si="1"/>
        <v>42838</v>
      </c>
      <c r="N29" s="34"/>
      <c r="O29" s="36"/>
      <c r="P29" s="36"/>
      <c r="Q29" s="36"/>
      <c r="R29" s="36"/>
      <c r="S29" s="36"/>
      <c r="T29" s="36"/>
    </row>
    <row r="30" spans="1:20" s="650" customFormat="1">
      <c r="A30" s="371">
        <v>4674</v>
      </c>
      <c r="B30" s="559" t="s">
        <v>80</v>
      </c>
      <c r="C30" s="371" t="s">
        <v>79</v>
      </c>
      <c r="D30" s="371" t="s">
        <v>526</v>
      </c>
      <c r="E30" s="371" t="s">
        <v>180</v>
      </c>
      <c r="F30" s="649">
        <v>18000000</v>
      </c>
      <c r="G30" s="305" t="s">
        <v>161</v>
      </c>
      <c r="H30" s="640">
        <v>18000000</v>
      </c>
      <c r="I30" s="640">
        <v>18000000</v>
      </c>
      <c r="J30" s="634">
        <v>42658</v>
      </c>
      <c r="K30" s="636">
        <f t="shared" si="2"/>
        <v>42693</v>
      </c>
      <c r="L30" s="640">
        <v>18000000</v>
      </c>
      <c r="M30" s="637">
        <f t="shared" si="1"/>
        <v>42838</v>
      </c>
      <c r="N30" s="641"/>
      <c r="O30" s="400"/>
      <c r="P30" s="400"/>
      <c r="Q30" s="400"/>
      <c r="R30" s="400"/>
      <c r="S30" s="400"/>
      <c r="T30" s="400"/>
    </row>
    <row r="31" spans="1:20" s="650" customFormat="1">
      <c r="A31" s="371">
        <v>4675</v>
      </c>
      <c r="B31" s="559" t="s">
        <v>80</v>
      </c>
      <c r="C31" s="371" t="s">
        <v>79</v>
      </c>
      <c r="D31" s="371" t="s">
        <v>527</v>
      </c>
      <c r="E31" s="371" t="s">
        <v>82</v>
      </c>
      <c r="F31" s="649">
        <v>25000000</v>
      </c>
      <c r="G31" s="305" t="s">
        <v>161</v>
      </c>
      <c r="H31" s="640">
        <v>25000000</v>
      </c>
      <c r="I31" s="640">
        <v>25000000</v>
      </c>
      <c r="J31" s="634">
        <v>42658</v>
      </c>
      <c r="K31" s="636">
        <f t="shared" si="2"/>
        <v>42693</v>
      </c>
      <c r="L31" s="640">
        <v>25000000</v>
      </c>
      <c r="M31" s="637">
        <f t="shared" si="1"/>
        <v>42838</v>
      </c>
      <c r="N31" s="641"/>
      <c r="O31" s="400"/>
      <c r="P31" s="400"/>
      <c r="Q31" s="400"/>
      <c r="R31" s="400"/>
      <c r="S31" s="400"/>
      <c r="T31" s="400"/>
    </row>
    <row r="32" spans="1:20" s="400" customFormat="1">
      <c r="A32" s="371">
        <v>4676</v>
      </c>
      <c r="B32" s="52" t="s">
        <v>80</v>
      </c>
      <c r="C32" s="371" t="s">
        <v>79</v>
      </c>
      <c r="D32" s="371" t="s">
        <v>566</v>
      </c>
      <c r="E32" s="371" t="s">
        <v>83</v>
      </c>
      <c r="F32" s="649">
        <v>20000000</v>
      </c>
      <c r="G32" s="305" t="s">
        <v>161</v>
      </c>
      <c r="H32" s="640">
        <v>20000000</v>
      </c>
      <c r="I32" s="640">
        <v>20000000</v>
      </c>
      <c r="J32" s="634">
        <v>42658</v>
      </c>
      <c r="K32" s="636">
        <f t="shared" si="2"/>
        <v>42693</v>
      </c>
      <c r="L32" s="640">
        <v>20000000</v>
      </c>
      <c r="M32" s="637">
        <f t="shared" si="1"/>
        <v>42838</v>
      </c>
      <c r="N32" s="641"/>
      <c r="O32" s="656"/>
    </row>
    <row r="33" spans="1:18" s="400" customFormat="1">
      <c r="A33" s="371">
        <v>4677</v>
      </c>
      <c r="B33" s="52" t="s">
        <v>360</v>
      </c>
      <c r="C33" s="559" t="s">
        <v>224</v>
      </c>
      <c r="D33" s="559" t="s">
        <v>530</v>
      </c>
      <c r="E33" s="371" t="s">
        <v>85</v>
      </c>
      <c r="F33" s="638">
        <v>30000000</v>
      </c>
      <c r="G33" s="305" t="s">
        <v>161</v>
      </c>
      <c r="H33" s="639">
        <v>30000000</v>
      </c>
      <c r="I33" s="639">
        <v>30000000</v>
      </c>
      <c r="J33" s="634">
        <v>42658</v>
      </c>
      <c r="K33" s="636">
        <f t="shared" si="2"/>
        <v>42693</v>
      </c>
      <c r="L33" s="107">
        <v>0</v>
      </c>
      <c r="M33" s="637">
        <f t="shared" si="1"/>
        <v>42838</v>
      </c>
      <c r="N33" s="107">
        <v>0</v>
      </c>
      <c r="O33" s="632">
        <f>I33-N33</f>
        <v>30000000</v>
      </c>
      <c r="P33" s="641">
        <v>42675</v>
      </c>
    </row>
    <row r="34" spans="1:18" s="400" customFormat="1">
      <c r="A34" s="371">
        <v>4678</v>
      </c>
      <c r="B34" s="559" t="s">
        <v>80</v>
      </c>
      <c r="C34" s="559" t="s">
        <v>224</v>
      </c>
      <c r="D34" s="559" t="s">
        <v>404</v>
      </c>
      <c r="E34" s="559" t="s">
        <v>85</v>
      </c>
      <c r="F34" s="638">
        <v>20000000</v>
      </c>
      <c r="G34" s="305" t="s">
        <v>161</v>
      </c>
      <c r="H34" s="639">
        <v>20000000</v>
      </c>
      <c r="I34" s="639">
        <v>20000000</v>
      </c>
      <c r="J34" s="634">
        <v>42658</v>
      </c>
      <c r="K34" s="636">
        <f t="shared" si="2"/>
        <v>42693</v>
      </c>
      <c r="L34" s="639">
        <v>20000000</v>
      </c>
      <c r="M34" s="637">
        <f t="shared" si="1"/>
        <v>42838</v>
      </c>
      <c r="N34" s="641"/>
      <c r="O34" s="656"/>
    </row>
    <row r="35" spans="1:18" s="129" customFormat="1">
      <c r="A35" s="371">
        <v>4679</v>
      </c>
      <c r="B35" s="52" t="s">
        <v>360</v>
      </c>
      <c r="C35" s="297" t="s">
        <v>320</v>
      </c>
      <c r="D35" s="129" t="s">
        <v>537</v>
      </c>
      <c r="E35" s="129" t="s">
        <v>84</v>
      </c>
      <c r="F35" s="622">
        <v>29000000</v>
      </c>
      <c r="G35" s="1" t="s">
        <v>161</v>
      </c>
      <c r="H35" s="620">
        <v>29000000</v>
      </c>
      <c r="I35" s="620">
        <v>29000000</v>
      </c>
      <c r="J35" s="634">
        <v>42658</v>
      </c>
      <c r="K35" s="340">
        <f t="shared" si="2"/>
        <v>42693</v>
      </c>
      <c r="L35" s="107">
        <v>0</v>
      </c>
      <c r="M35" s="316">
        <f t="shared" si="1"/>
        <v>42838</v>
      </c>
      <c r="N35" s="107">
        <v>0</v>
      </c>
      <c r="O35" s="632">
        <f>I35-N35</f>
        <v>29000000</v>
      </c>
      <c r="P35" s="346">
        <v>42661</v>
      </c>
    </row>
    <row r="36" spans="1:18" s="129" customFormat="1">
      <c r="A36" s="129" t="s">
        <v>536</v>
      </c>
      <c r="B36" s="52" t="s">
        <v>360</v>
      </c>
      <c r="C36" s="297" t="s">
        <v>320</v>
      </c>
      <c r="D36" s="129" t="s">
        <v>538</v>
      </c>
      <c r="E36" s="129" t="s">
        <v>84</v>
      </c>
      <c r="F36" s="622">
        <v>35000000</v>
      </c>
      <c r="G36" s="1" t="s">
        <v>161</v>
      </c>
      <c r="H36" s="620"/>
      <c r="I36" s="620"/>
      <c r="J36" s="81"/>
      <c r="K36" s="340"/>
      <c r="L36" s="81"/>
      <c r="M36" s="635"/>
      <c r="N36" s="346"/>
    </row>
    <row r="37" spans="1:18" s="129" customFormat="1">
      <c r="A37" s="129">
        <v>4680</v>
      </c>
      <c r="B37" s="52" t="s">
        <v>360</v>
      </c>
      <c r="C37" s="297" t="s">
        <v>290</v>
      </c>
      <c r="D37" s="129" t="s">
        <v>543</v>
      </c>
      <c r="E37" s="129" t="s">
        <v>83</v>
      </c>
      <c r="F37" s="622">
        <v>20000000</v>
      </c>
      <c r="G37" s="1" t="s">
        <v>161</v>
      </c>
      <c r="H37" s="620">
        <v>20000000</v>
      </c>
      <c r="I37" s="620">
        <v>20000000</v>
      </c>
      <c r="J37" s="635">
        <v>42662</v>
      </c>
      <c r="K37" s="636">
        <f t="shared" si="2"/>
        <v>42697</v>
      </c>
      <c r="L37" s="107">
        <v>0</v>
      </c>
      <c r="M37" s="637">
        <f t="shared" si="1"/>
        <v>42842</v>
      </c>
      <c r="N37" s="107">
        <v>0</v>
      </c>
      <c r="O37" s="632">
        <f>I37-N37</f>
        <v>20000000</v>
      </c>
      <c r="P37" s="346">
        <v>42671</v>
      </c>
    </row>
    <row r="38" spans="1:18" s="17" customFormat="1">
      <c r="A38" s="129">
        <v>4681</v>
      </c>
      <c r="B38" s="559" t="s">
        <v>80</v>
      </c>
      <c r="C38" s="297" t="s">
        <v>184</v>
      </c>
      <c r="D38" s="52" t="s">
        <v>547</v>
      </c>
      <c r="E38" s="52" t="s">
        <v>511</v>
      </c>
      <c r="F38" s="647">
        <v>37500000</v>
      </c>
      <c r="G38" s="1" t="s">
        <v>161</v>
      </c>
      <c r="H38" s="618">
        <v>37500000</v>
      </c>
      <c r="I38" s="618">
        <v>37500000</v>
      </c>
      <c r="J38" s="648">
        <v>42662</v>
      </c>
      <c r="K38" s="636">
        <f t="shared" si="2"/>
        <v>42697</v>
      </c>
      <c r="L38" s="618">
        <v>37500000</v>
      </c>
      <c r="M38" s="637">
        <f t="shared" si="1"/>
        <v>42842</v>
      </c>
      <c r="N38" s="15"/>
      <c r="Q38" s="64"/>
    </row>
    <row r="39" spans="1:18" s="129" customFormat="1">
      <c r="A39" s="129">
        <v>4682</v>
      </c>
      <c r="B39" s="559" t="s">
        <v>80</v>
      </c>
      <c r="C39" s="297" t="s">
        <v>550</v>
      </c>
      <c r="D39" s="129" t="s">
        <v>549</v>
      </c>
      <c r="E39" s="129" t="s">
        <v>85</v>
      </c>
      <c r="F39" s="621">
        <v>50000000</v>
      </c>
      <c r="G39" s="52" t="s">
        <v>161</v>
      </c>
      <c r="H39" s="619">
        <v>50000000</v>
      </c>
      <c r="I39" s="619">
        <v>50000000</v>
      </c>
      <c r="J39" s="635">
        <v>42664</v>
      </c>
      <c r="K39" s="340">
        <f t="shared" si="2"/>
        <v>42699</v>
      </c>
      <c r="L39" s="619">
        <v>50000000</v>
      </c>
      <c r="M39" s="635">
        <f t="shared" si="1"/>
        <v>42844</v>
      </c>
      <c r="N39" s="346"/>
    </row>
    <row r="40" spans="1:18" s="129" customFormat="1">
      <c r="A40" s="129" t="s">
        <v>551</v>
      </c>
      <c r="B40" s="52" t="s">
        <v>360</v>
      </c>
      <c r="C40" s="297" t="s">
        <v>324</v>
      </c>
      <c r="D40" s="129" t="s">
        <v>552</v>
      </c>
      <c r="E40" s="129" t="s">
        <v>388</v>
      </c>
      <c r="F40" s="615">
        <v>40000000</v>
      </c>
      <c r="G40" s="1" t="s">
        <v>161</v>
      </c>
      <c r="H40" s="90"/>
      <c r="I40" s="90"/>
      <c r="J40" s="615"/>
      <c r="K40" s="346"/>
      <c r="L40" s="615"/>
      <c r="M40" s="626"/>
      <c r="N40" s="346"/>
    </row>
    <row r="41" spans="1:18" s="129" customFormat="1">
      <c r="A41" s="129">
        <v>4684</v>
      </c>
      <c r="B41" s="559" t="s">
        <v>80</v>
      </c>
      <c r="C41" s="297" t="s">
        <v>281</v>
      </c>
      <c r="D41" s="129" t="s">
        <v>555</v>
      </c>
      <c r="E41" s="129" t="s">
        <v>85</v>
      </c>
      <c r="F41" s="615">
        <v>38000000</v>
      </c>
      <c r="G41" s="52" t="s">
        <v>161</v>
      </c>
      <c r="H41" s="90">
        <v>38000000</v>
      </c>
      <c r="I41" s="90">
        <v>38000000</v>
      </c>
      <c r="J41" s="635">
        <v>42672</v>
      </c>
      <c r="K41" s="340">
        <f t="shared" si="2"/>
        <v>42707</v>
      </c>
      <c r="L41" s="90">
        <v>38000000</v>
      </c>
      <c r="M41" s="635">
        <f t="shared" si="1"/>
        <v>42852</v>
      </c>
      <c r="N41" s="346"/>
      <c r="P41" s="346"/>
      <c r="R41" s="346"/>
    </row>
    <row r="42" spans="1:18" s="129" customFormat="1">
      <c r="A42" s="129">
        <v>4685</v>
      </c>
      <c r="B42" s="559" t="s">
        <v>80</v>
      </c>
      <c r="C42" s="297" t="s">
        <v>281</v>
      </c>
      <c r="D42" s="129" t="s">
        <v>557</v>
      </c>
      <c r="E42" s="129" t="s">
        <v>85</v>
      </c>
      <c r="F42" s="615">
        <v>38000000</v>
      </c>
      <c r="G42" s="52" t="s">
        <v>161</v>
      </c>
      <c r="H42" s="90">
        <v>38000000</v>
      </c>
      <c r="I42" s="90">
        <v>38000000</v>
      </c>
      <c r="J42" s="635">
        <v>42676</v>
      </c>
      <c r="K42" s="340">
        <f t="shared" si="2"/>
        <v>42711</v>
      </c>
      <c r="L42" s="90">
        <v>38000000</v>
      </c>
      <c r="M42" s="635">
        <f t="shared" si="1"/>
        <v>42856</v>
      </c>
      <c r="N42" s="346"/>
      <c r="O42" s="346"/>
      <c r="P42" s="346"/>
    </row>
    <row r="43" spans="1:18" s="129" customFormat="1">
      <c r="A43" s="129">
        <v>4686</v>
      </c>
      <c r="B43" s="559" t="s">
        <v>80</v>
      </c>
      <c r="C43" s="297" t="s">
        <v>273</v>
      </c>
      <c r="D43" s="129" t="s">
        <v>559</v>
      </c>
      <c r="E43" s="129" t="s">
        <v>192</v>
      </c>
      <c r="F43" s="622">
        <v>100000000</v>
      </c>
      <c r="G43" s="52" t="s">
        <v>161</v>
      </c>
      <c r="H43" s="620">
        <v>100000000</v>
      </c>
      <c r="I43" s="500">
        <v>43375000</v>
      </c>
      <c r="J43" s="635">
        <v>42686</v>
      </c>
      <c r="K43" s="340">
        <f t="shared" si="2"/>
        <v>42721</v>
      </c>
      <c r="L43" s="500">
        <v>43375000</v>
      </c>
      <c r="M43" s="635">
        <f>J43+210</f>
        <v>42896</v>
      </c>
      <c r="N43" s="346"/>
    </row>
    <row r="44" spans="1:18" s="129" customFormat="1">
      <c r="A44" s="129" t="s">
        <v>560</v>
      </c>
      <c r="B44" s="52" t="s">
        <v>360</v>
      </c>
      <c r="C44" s="297" t="s">
        <v>281</v>
      </c>
      <c r="D44" s="129" t="s">
        <v>265</v>
      </c>
      <c r="E44" s="129" t="s">
        <v>85</v>
      </c>
      <c r="F44" s="622">
        <v>60000000</v>
      </c>
      <c r="G44" s="52" t="s">
        <v>161</v>
      </c>
      <c r="H44" s="620"/>
      <c r="I44" s="500"/>
      <c r="J44" s="626"/>
      <c r="K44" s="346"/>
      <c r="L44" s="615"/>
      <c r="M44" s="626"/>
      <c r="N44" s="346"/>
    </row>
    <row r="45" spans="1:18" s="129" customFormat="1">
      <c r="A45" s="129" t="s">
        <v>561</v>
      </c>
      <c r="B45" s="129" t="s">
        <v>45</v>
      </c>
      <c r="C45" s="297" t="s">
        <v>79</v>
      </c>
      <c r="D45" s="129" t="s">
        <v>563</v>
      </c>
      <c r="E45" s="129" t="s">
        <v>272</v>
      </c>
      <c r="F45" s="622">
        <v>60000000</v>
      </c>
      <c r="G45" s="52" t="s">
        <v>161</v>
      </c>
      <c r="H45" s="620">
        <v>60000000</v>
      </c>
      <c r="I45" s="500"/>
      <c r="J45" s="626"/>
      <c r="K45" s="346"/>
      <c r="L45" s="615"/>
      <c r="M45" s="626"/>
      <c r="N45" s="346"/>
    </row>
    <row r="46" spans="1:18" s="129" customFormat="1">
      <c r="A46" s="129" t="s">
        <v>562</v>
      </c>
      <c r="B46" s="129" t="s">
        <v>45</v>
      </c>
      <c r="C46" s="297" t="s">
        <v>79</v>
      </c>
      <c r="D46" s="129" t="s">
        <v>564</v>
      </c>
      <c r="E46" s="129" t="s">
        <v>272</v>
      </c>
      <c r="F46" s="622">
        <v>60000000</v>
      </c>
      <c r="G46" s="52" t="s">
        <v>161</v>
      </c>
      <c r="H46" s="620">
        <v>60000000</v>
      </c>
      <c r="I46" s="500"/>
      <c r="J46" s="626"/>
      <c r="K46" s="346"/>
      <c r="L46" s="615"/>
      <c r="M46" s="626"/>
      <c r="N46" s="346"/>
    </row>
    <row r="47" spans="1:18" s="129" customFormat="1">
      <c r="A47" s="129">
        <v>4683</v>
      </c>
      <c r="B47" s="559" t="s">
        <v>86</v>
      </c>
      <c r="C47" s="297" t="s">
        <v>79</v>
      </c>
      <c r="D47" s="297" t="s">
        <v>163</v>
      </c>
      <c r="E47" s="297" t="s">
        <v>192</v>
      </c>
      <c r="F47" s="622">
        <v>800000000</v>
      </c>
      <c r="G47" s="52" t="s">
        <v>161</v>
      </c>
      <c r="H47" s="622">
        <v>800000000</v>
      </c>
      <c r="I47" s="622">
        <v>800000000</v>
      </c>
      <c r="J47" s="635">
        <v>42664</v>
      </c>
      <c r="K47" s="340">
        <f t="shared" ref="K47" si="3">J47+35</f>
        <v>42699</v>
      </c>
      <c r="L47" s="615">
        <v>0</v>
      </c>
      <c r="M47" s="626">
        <f>J47+210</f>
        <v>42874</v>
      </c>
      <c r="N47" s="615">
        <v>0</v>
      </c>
      <c r="O47" s="632">
        <f>I47-N47</f>
        <v>800000000</v>
      </c>
      <c r="P47" s="346">
        <v>42683</v>
      </c>
      <c r="Q47" s="129" t="s">
        <v>357</v>
      </c>
    </row>
    <row r="48" spans="1:18" s="129" customFormat="1">
      <c r="A48" s="129" t="s">
        <v>577</v>
      </c>
      <c r="B48" s="129" t="s">
        <v>45</v>
      </c>
      <c r="C48" s="297" t="s">
        <v>184</v>
      </c>
      <c r="D48" s="52" t="s">
        <v>471</v>
      </c>
      <c r="E48" s="52" t="s">
        <v>84</v>
      </c>
      <c r="F48" s="315">
        <v>15000000</v>
      </c>
      <c r="G48" s="52" t="s">
        <v>161</v>
      </c>
      <c r="H48" s="315">
        <v>15000000</v>
      </c>
      <c r="I48" s="622"/>
      <c r="J48" s="635"/>
      <c r="K48" s="340"/>
      <c r="L48" s="615"/>
      <c r="M48" s="626"/>
      <c r="N48" s="346"/>
      <c r="O48" s="632"/>
    </row>
    <row r="49" spans="1:15">
      <c r="A49" s="17"/>
      <c r="C49" s="52"/>
      <c r="F49" s="399"/>
      <c r="G49" s="399"/>
      <c r="H49" s="618"/>
      <c r="I49" s="389"/>
      <c r="J49" s="8"/>
      <c r="K49" s="8"/>
      <c r="N49" s="360"/>
      <c r="O49" s="360"/>
    </row>
    <row r="50" spans="1:15">
      <c r="A50" s="17"/>
      <c r="C50" s="5"/>
      <c r="D50" s="5" t="s">
        <v>7</v>
      </c>
      <c r="E50" s="5" t="s">
        <v>6</v>
      </c>
      <c r="F50" s="472">
        <f>SUM(F7:F49)</f>
        <v>2287500000</v>
      </c>
      <c r="G50" s="94"/>
      <c r="H50" s="121">
        <f>SUM(H7:H49)</f>
        <v>2152500000</v>
      </c>
      <c r="I50" s="121">
        <f>SUM(I7:I49)</f>
        <v>1960875000</v>
      </c>
      <c r="J50" s="15"/>
      <c r="K50" s="15"/>
      <c r="L50" s="472">
        <f>SUM(L7:L49)</f>
        <v>980375000</v>
      </c>
      <c r="N50" s="472">
        <f>SUM(N7:N49)</f>
        <v>166697000</v>
      </c>
      <c r="O50" s="472">
        <f>SUM(O7:O49)</f>
        <v>1074303000</v>
      </c>
    </row>
    <row r="51" spans="1:15">
      <c r="A51" s="17"/>
      <c r="C51" s="52"/>
      <c r="F51" s="368"/>
      <c r="G51" s="368"/>
      <c r="H51" s="368"/>
      <c r="K51" s="3"/>
    </row>
    <row r="52" spans="1:15">
      <c r="A52" s="17"/>
      <c r="C52" s="17"/>
      <c r="E52" s="17" t="s">
        <v>45</v>
      </c>
      <c r="F52" s="548">
        <f>H50-I50</f>
        <v>191625000</v>
      </c>
      <c r="G52" s="548"/>
      <c r="H52" s="548"/>
      <c r="K52" s="3"/>
      <c r="L52" s="313"/>
    </row>
    <row r="55" spans="1:15">
      <c r="J55" s="3"/>
      <c r="M55" s="397"/>
    </row>
    <row r="56" spans="1:15">
      <c r="D56" s="267"/>
      <c r="I56" s="3"/>
      <c r="J56" s="3"/>
      <c r="K56" s="3"/>
      <c r="L56" s="3"/>
    </row>
    <row r="57" spans="1:15">
      <c r="D57" s="267"/>
    </row>
    <row r="59" spans="1:15">
      <c r="D59" s="267"/>
      <c r="E59" s="4" t="s">
        <v>553</v>
      </c>
      <c r="F59" s="617">
        <f>B1-I50+O50+D59</f>
        <v>96023000.300000072</v>
      </c>
    </row>
    <row r="60" spans="1:15">
      <c r="F60" s="1" t="s">
        <v>578</v>
      </c>
    </row>
  </sheetData>
  <sortState xmlns:xlrd2="http://schemas.microsoft.com/office/spreadsheetml/2017/richdata2" ref="A7:H34">
    <sortCondition ref="A7:A3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5"/>
  <sheetViews>
    <sheetView zoomScaleNormal="100" workbookViewId="0">
      <selection activeCell="A10" sqref="A10:XFD11"/>
    </sheetView>
  </sheetViews>
  <sheetFormatPr defaultColWidth="11.42578125" defaultRowHeight="12"/>
  <cols>
    <col min="1" max="1" width="7.85546875" style="1" customWidth="1"/>
    <col min="2" max="2" width="12" style="1" bestFit="1" customWidth="1"/>
    <col min="3" max="3" width="36.42578125" style="1" bestFit="1" customWidth="1"/>
    <col min="4" max="4" width="27.140625" style="1" bestFit="1" customWidth="1"/>
    <col min="5" max="5" width="16.42578125" style="1" bestFit="1" customWidth="1"/>
    <col min="6" max="6" width="15.7109375" style="13" bestFit="1" customWidth="1"/>
    <col min="7" max="7" width="16" style="146" bestFit="1" customWidth="1"/>
    <col min="8" max="8" width="15.7109375" style="13" bestFit="1" customWidth="1"/>
    <col min="9" max="9" width="15.7109375" style="18" bestFit="1" customWidth="1"/>
    <col min="10" max="10" width="16.42578125" style="1" bestFit="1" customWidth="1"/>
    <col min="11" max="11" width="14.42578125" style="1" bestFit="1" customWidth="1"/>
    <col min="12" max="12" width="14.7109375" style="2" bestFit="1" customWidth="1"/>
    <col min="13" max="13" width="9.5703125" style="1" bestFit="1" customWidth="1"/>
    <col min="14" max="14" width="16" style="211" bestFit="1" customWidth="1"/>
    <col min="15" max="15" width="14.7109375" style="211" bestFit="1" customWidth="1"/>
    <col min="16" max="16" width="9.85546875" style="1" bestFit="1" customWidth="1"/>
    <col min="17" max="17" width="15.28515625" style="1" bestFit="1" customWidth="1"/>
    <col min="18" max="19" width="11.5703125" style="1" bestFit="1" customWidth="1"/>
    <col min="20" max="16384" width="11.42578125" style="1"/>
  </cols>
  <sheetData>
    <row r="1" spans="1:19" s="28" customFormat="1">
      <c r="A1" s="20" t="s">
        <v>21</v>
      </c>
      <c r="C1" s="314">
        <f>Totals!C8</f>
        <v>981873021</v>
      </c>
      <c r="D1" s="22"/>
      <c r="E1" s="22"/>
      <c r="F1" s="213"/>
      <c r="G1" s="194"/>
      <c r="H1" s="100"/>
      <c r="I1" s="24"/>
      <c r="K1" s="79"/>
      <c r="N1" s="208"/>
      <c r="O1" s="208"/>
      <c r="P1" s="27"/>
    </row>
    <row r="2" spans="1:19" s="17" customFormat="1">
      <c r="A2" s="29" t="s">
        <v>37</v>
      </c>
      <c r="B2" s="36"/>
      <c r="C2" s="10"/>
      <c r="D2" s="576"/>
      <c r="E2" s="10"/>
      <c r="F2" s="36"/>
      <c r="G2" s="195"/>
      <c r="H2" s="101"/>
      <c r="I2" s="32"/>
      <c r="J2" s="36"/>
      <c r="K2" s="364"/>
      <c r="L2" s="36"/>
      <c r="M2" s="34"/>
      <c r="N2" s="209"/>
      <c r="O2" s="209"/>
      <c r="P2" s="102"/>
    </row>
    <row r="3" spans="1:19" s="17" customFormat="1">
      <c r="A3" s="29"/>
      <c r="B3" s="36"/>
      <c r="C3" s="10"/>
      <c r="D3" s="10"/>
      <c r="E3" s="10"/>
      <c r="F3" s="36"/>
      <c r="G3" s="195"/>
      <c r="H3" s="101"/>
      <c r="I3" s="32"/>
      <c r="J3" s="261" t="s">
        <v>71</v>
      </c>
      <c r="K3" s="365">
        <f>C1*0.1</f>
        <v>98187302.100000009</v>
      </c>
      <c r="L3" s="365"/>
      <c r="M3" s="34"/>
      <c r="N3" s="209"/>
      <c r="O3" s="209"/>
      <c r="P3" s="102"/>
    </row>
    <row r="4" spans="1:19" s="17" customFormat="1">
      <c r="A4" s="29"/>
      <c r="B4" s="36"/>
      <c r="C4" s="10"/>
      <c r="D4" s="10"/>
      <c r="E4" s="10"/>
      <c r="F4" s="36"/>
      <c r="G4" s="195"/>
      <c r="H4" s="101"/>
      <c r="I4" s="32"/>
      <c r="J4" s="261" t="s">
        <v>70</v>
      </c>
      <c r="K4" s="365">
        <f>C1*0.3334</f>
        <v>327356465.20139998</v>
      </c>
      <c r="L4" s="365"/>
      <c r="M4" s="598"/>
      <c r="N4" s="209"/>
      <c r="O4" s="209"/>
      <c r="P4" s="102"/>
    </row>
    <row r="5" spans="1:19" s="17" customFormat="1">
      <c r="A5" s="29"/>
      <c r="B5" s="36"/>
      <c r="C5" s="10"/>
      <c r="D5" s="10"/>
      <c r="E5" s="10"/>
      <c r="F5" s="101"/>
      <c r="G5" s="195"/>
      <c r="H5" s="101"/>
      <c r="I5" s="36"/>
      <c r="J5" s="36"/>
      <c r="K5" s="10"/>
      <c r="L5" s="72"/>
      <c r="M5" s="34"/>
      <c r="N5" s="209"/>
      <c r="O5" s="209"/>
      <c r="P5" s="102"/>
    </row>
    <row r="6" spans="1:19" s="5" customFormat="1">
      <c r="A6" s="37" t="s">
        <v>34</v>
      </c>
      <c r="B6" s="10" t="s">
        <v>39</v>
      </c>
      <c r="C6" s="10" t="s">
        <v>32</v>
      </c>
      <c r="D6" s="10" t="s">
        <v>51</v>
      </c>
      <c r="E6" s="10" t="s">
        <v>47</v>
      </c>
      <c r="F6" s="104" t="s">
        <v>24</v>
      </c>
      <c r="G6" s="196" t="s">
        <v>40</v>
      </c>
      <c r="H6" s="104" t="s">
        <v>53</v>
      </c>
      <c r="I6" s="104" t="s">
        <v>8</v>
      </c>
      <c r="J6" s="9" t="s">
        <v>14</v>
      </c>
      <c r="K6" s="9" t="s">
        <v>36</v>
      </c>
      <c r="L6" s="73" t="s">
        <v>4</v>
      </c>
      <c r="M6" s="9" t="s">
        <v>344</v>
      </c>
      <c r="N6" s="210" t="s">
        <v>28</v>
      </c>
      <c r="O6" s="210" t="s">
        <v>46</v>
      </c>
      <c r="P6" s="35" t="s">
        <v>23</v>
      </c>
    </row>
    <row r="7" spans="1:19" s="5" customFormat="1">
      <c r="A7" s="37" t="s">
        <v>50</v>
      </c>
      <c r="B7" s="36"/>
      <c r="C7" s="30"/>
      <c r="D7" s="30"/>
      <c r="E7" s="30"/>
      <c r="F7" s="104" t="s">
        <v>44</v>
      </c>
      <c r="G7" s="196" t="s">
        <v>48</v>
      </c>
      <c r="H7" s="104" t="s">
        <v>44</v>
      </c>
      <c r="I7" s="104" t="s">
        <v>44</v>
      </c>
      <c r="J7" s="9" t="s">
        <v>9</v>
      </c>
      <c r="K7" s="9" t="s">
        <v>18</v>
      </c>
      <c r="L7" s="73" t="s">
        <v>44</v>
      </c>
      <c r="M7" s="9" t="s">
        <v>18</v>
      </c>
      <c r="N7" s="210" t="s">
        <v>44</v>
      </c>
      <c r="O7" s="210" t="s">
        <v>44</v>
      </c>
      <c r="P7" s="35" t="s">
        <v>5</v>
      </c>
    </row>
    <row r="8" spans="1:19" s="10" customFormat="1" ht="17.25" customHeight="1" thickBot="1">
      <c r="A8" s="44" t="s">
        <v>17</v>
      </c>
      <c r="B8" s="45" t="s">
        <v>7</v>
      </c>
      <c r="C8" s="46"/>
      <c r="D8" s="46"/>
      <c r="E8" s="46"/>
      <c r="F8" s="105"/>
      <c r="G8" s="197"/>
      <c r="H8" s="105"/>
      <c r="I8" s="105"/>
      <c r="J8" s="47"/>
      <c r="K8" s="47"/>
      <c r="L8" s="75"/>
      <c r="M8" s="47"/>
      <c r="N8" s="105"/>
      <c r="O8" s="105"/>
      <c r="P8" s="373" t="s">
        <v>9</v>
      </c>
      <c r="Q8" s="36"/>
      <c r="R8" s="367"/>
      <c r="S8" s="36"/>
    </row>
    <row r="9" spans="1:19" s="36" customFormat="1">
      <c r="A9" s="36">
        <v>4541</v>
      </c>
      <c r="B9" s="129" t="s">
        <v>360</v>
      </c>
      <c r="C9" s="297" t="s">
        <v>297</v>
      </c>
      <c r="D9" s="297" t="s">
        <v>298</v>
      </c>
      <c r="E9" s="297" t="s">
        <v>299</v>
      </c>
      <c r="F9" s="101">
        <v>30000000</v>
      </c>
      <c r="G9" s="195">
        <v>1</v>
      </c>
      <c r="H9" s="101">
        <v>30000000</v>
      </c>
      <c r="I9" s="101">
        <v>30000000</v>
      </c>
      <c r="J9" s="34">
        <v>42371</v>
      </c>
      <c r="K9" s="34">
        <f t="shared" ref="K9:K14" si="0">J9+35</f>
        <v>42406</v>
      </c>
      <c r="L9" s="101">
        <v>0</v>
      </c>
      <c r="M9" s="34">
        <f t="shared" ref="M9:M14" si="1">J9+210</f>
        <v>42581</v>
      </c>
      <c r="N9" s="101">
        <v>0</v>
      </c>
      <c r="O9" s="101">
        <f>I9-N9</f>
        <v>30000000</v>
      </c>
      <c r="P9" s="34">
        <v>42404</v>
      </c>
    </row>
    <row r="10" spans="1:19" s="36" customFormat="1">
      <c r="A10" s="36">
        <v>4566</v>
      </c>
      <c r="B10" s="129" t="s">
        <v>86</v>
      </c>
      <c r="C10" s="297" t="s">
        <v>79</v>
      </c>
      <c r="D10" s="297" t="s">
        <v>163</v>
      </c>
      <c r="E10" s="297" t="s">
        <v>192</v>
      </c>
      <c r="F10" s="101">
        <v>400000000</v>
      </c>
      <c r="G10" s="101" t="s">
        <v>161</v>
      </c>
      <c r="H10" s="101">
        <v>400000000</v>
      </c>
      <c r="I10" s="101">
        <v>400000000</v>
      </c>
      <c r="J10" s="34">
        <v>42390</v>
      </c>
      <c r="K10" s="34">
        <f t="shared" si="0"/>
        <v>42425</v>
      </c>
      <c r="L10" s="101">
        <v>400000000</v>
      </c>
      <c r="M10" s="34">
        <f t="shared" si="1"/>
        <v>42600</v>
      </c>
      <c r="N10" s="101">
        <v>0</v>
      </c>
      <c r="O10" s="101">
        <f>I10-N10</f>
        <v>400000000</v>
      </c>
      <c r="P10" s="34">
        <v>42411</v>
      </c>
      <c r="Q10" s="36" t="s">
        <v>505</v>
      </c>
    </row>
    <row r="11" spans="1:19" s="36" customFormat="1">
      <c r="A11" s="36">
        <v>4611</v>
      </c>
      <c r="B11" s="129" t="s">
        <v>86</v>
      </c>
      <c r="C11" s="297" t="s">
        <v>79</v>
      </c>
      <c r="D11" s="297" t="s">
        <v>163</v>
      </c>
      <c r="E11" s="297" t="s">
        <v>192</v>
      </c>
      <c r="F11" s="101">
        <v>185000000</v>
      </c>
      <c r="G11" s="101" t="s">
        <v>161</v>
      </c>
      <c r="H11" s="101">
        <v>185000000</v>
      </c>
      <c r="I11" s="101">
        <v>185000000</v>
      </c>
      <c r="J11" s="34">
        <v>42497</v>
      </c>
      <c r="K11" s="34">
        <f t="shared" si="0"/>
        <v>42532</v>
      </c>
      <c r="L11" s="101">
        <v>185000000</v>
      </c>
      <c r="M11" s="34">
        <f t="shared" si="1"/>
        <v>42707</v>
      </c>
      <c r="N11" s="101">
        <v>0</v>
      </c>
      <c r="O11" s="101">
        <f>I11-N11</f>
        <v>185000000</v>
      </c>
      <c r="P11" s="34">
        <v>42559</v>
      </c>
      <c r="Q11" s="36" t="s">
        <v>357</v>
      </c>
    </row>
    <row r="12" spans="1:19" s="36" customFormat="1">
      <c r="A12" s="36">
        <v>4637</v>
      </c>
      <c r="B12" s="129" t="s">
        <v>86</v>
      </c>
      <c r="C12" s="297" t="s">
        <v>500</v>
      </c>
      <c r="D12" s="297" t="s">
        <v>508</v>
      </c>
      <c r="E12" s="297" t="s">
        <v>501</v>
      </c>
      <c r="F12" s="101">
        <v>14999246</v>
      </c>
      <c r="G12" s="101" t="s">
        <v>161</v>
      </c>
      <c r="H12" s="101">
        <v>14999246</v>
      </c>
      <c r="I12" s="101">
        <v>14999246</v>
      </c>
      <c r="J12" s="34">
        <v>42580</v>
      </c>
      <c r="K12" s="34">
        <f t="shared" si="0"/>
        <v>42615</v>
      </c>
      <c r="L12" s="101">
        <v>14999246</v>
      </c>
      <c r="M12" s="34">
        <f t="shared" si="1"/>
        <v>42790</v>
      </c>
      <c r="N12" s="101">
        <v>0</v>
      </c>
      <c r="O12" s="101">
        <f>I12-N12</f>
        <v>14999246</v>
      </c>
      <c r="P12" s="34">
        <v>42584</v>
      </c>
      <c r="Q12" s="36" t="s">
        <v>481</v>
      </c>
    </row>
    <row r="13" spans="1:19" s="36" customFormat="1">
      <c r="A13" s="36">
        <v>4638</v>
      </c>
      <c r="B13" s="129" t="s">
        <v>80</v>
      </c>
      <c r="C13" s="297" t="s">
        <v>184</v>
      </c>
      <c r="D13" s="297" t="s">
        <v>502</v>
      </c>
      <c r="E13" s="297" t="s">
        <v>192</v>
      </c>
      <c r="F13" s="101">
        <v>98187302</v>
      </c>
      <c r="G13" s="101" t="s">
        <v>161</v>
      </c>
      <c r="H13" s="101">
        <v>98187302</v>
      </c>
      <c r="I13" s="101">
        <v>98187302</v>
      </c>
      <c r="J13" s="34">
        <v>42584</v>
      </c>
      <c r="K13" s="34">
        <f t="shared" si="0"/>
        <v>42619</v>
      </c>
      <c r="L13" s="101">
        <v>98187302</v>
      </c>
      <c r="M13" s="34">
        <f t="shared" si="1"/>
        <v>42794</v>
      </c>
      <c r="N13" s="101"/>
      <c r="O13" s="101"/>
      <c r="P13" s="34"/>
    </row>
    <row r="14" spans="1:19" s="36" customFormat="1">
      <c r="A14" s="36">
        <v>4641</v>
      </c>
      <c r="B14" s="129" t="s">
        <v>80</v>
      </c>
      <c r="C14" s="297" t="s">
        <v>507</v>
      </c>
      <c r="D14" s="297" t="s">
        <v>506</v>
      </c>
      <c r="E14" s="297" t="s">
        <v>528</v>
      </c>
      <c r="F14" s="101">
        <v>25000000</v>
      </c>
      <c r="G14" s="101" t="s">
        <v>161</v>
      </c>
      <c r="H14" s="101">
        <v>25000000</v>
      </c>
      <c r="I14" s="101">
        <v>25000000</v>
      </c>
      <c r="J14" s="34">
        <v>42588</v>
      </c>
      <c r="K14" s="34">
        <f t="shared" si="0"/>
        <v>42623</v>
      </c>
      <c r="L14" s="101">
        <v>25000000</v>
      </c>
      <c r="M14" s="34">
        <f t="shared" si="1"/>
        <v>42798</v>
      </c>
      <c r="N14" s="101"/>
      <c r="O14" s="101"/>
      <c r="P14" s="34"/>
    </row>
    <row r="15" spans="1:19" s="36" customFormat="1">
      <c r="A15" s="36">
        <v>4642</v>
      </c>
      <c r="B15" s="129" t="s">
        <v>80</v>
      </c>
      <c r="C15" s="297" t="s">
        <v>565</v>
      </c>
      <c r="D15" s="297" t="s">
        <v>512</v>
      </c>
      <c r="E15" s="297" t="s">
        <v>192</v>
      </c>
      <c r="F15" s="101">
        <v>51000000</v>
      </c>
      <c r="G15" s="101" t="s">
        <v>161</v>
      </c>
      <c r="H15" s="101">
        <v>51000000</v>
      </c>
      <c r="I15" s="101">
        <v>51000000</v>
      </c>
      <c r="J15" s="34">
        <v>42588</v>
      </c>
      <c r="K15" s="34">
        <f t="shared" ref="K15:K18" si="2">J15+35</f>
        <v>42623</v>
      </c>
      <c r="L15" s="101">
        <v>51000000</v>
      </c>
      <c r="M15" s="34">
        <f t="shared" ref="M15:M18" si="3">J15+210</f>
        <v>42798</v>
      </c>
      <c r="N15" s="101"/>
      <c r="O15" s="101"/>
      <c r="P15" s="34"/>
    </row>
    <row r="16" spans="1:19" s="36" customFormat="1">
      <c r="A16" s="36">
        <v>4643</v>
      </c>
      <c r="B16" s="129" t="s">
        <v>80</v>
      </c>
      <c r="C16" s="297" t="s">
        <v>79</v>
      </c>
      <c r="D16" s="297" t="s">
        <v>163</v>
      </c>
      <c r="E16" s="297" t="s">
        <v>192</v>
      </c>
      <c r="F16" s="101">
        <v>115000000</v>
      </c>
      <c r="G16" s="101" t="s">
        <v>161</v>
      </c>
      <c r="H16" s="101">
        <v>115000000</v>
      </c>
      <c r="I16" s="101">
        <v>115000000</v>
      </c>
      <c r="J16" s="34">
        <v>42588</v>
      </c>
      <c r="K16" s="34">
        <f t="shared" si="2"/>
        <v>42623</v>
      </c>
      <c r="L16" s="101">
        <v>115000000</v>
      </c>
      <c r="M16" s="34">
        <f t="shared" si="3"/>
        <v>42798</v>
      </c>
      <c r="N16" s="101"/>
      <c r="O16" s="101"/>
      <c r="P16" s="34"/>
    </row>
    <row r="17" spans="1:16" s="36" customFormat="1">
      <c r="A17" s="36">
        <v>4644</v>
      </c>
      <c r="B17" s="129" t="s">
        <v>80</v>
      </c>
      <c r="C17" s="297" t="s">
        <v>79</v>
      </c>
      <c r="D17" s="297" t="s">
        <v>172</v>
      </c>
      <c r="E17" s="297" t="s">
        <v>192</v>
      </c>
      <c r="F17" s="101">
        <v>212356465</v>
      </c>
      <c r="G17" s="101" t="s">
        <v>161</v>
      </c>
      <c r="H17" s="101">
        <v>212356465</v>
      </c>
      <c r="I17" s="101">
        <v>212356465</v>
      </c>
      <c r="J17" s="34">
        <v>42588</v>
      </c>
      <c r="K17" s="34">
        <f t="shared" si="2"/>
        <v>42623</v>
      </c>
      <c r="L17" s="101">
        <v>212356465</v>
      </c>
      <c r="M17" s="34">
        <f t="shared" si="3"/>
        <v>42798</v>
      </c>
      <c r="N17" s="101"/>
      <c r="O17" s="101"/>
      <c r="P17" s="34"/>
    </row>
    <row r="18" spans="1:16" s="36" customFormat="1">
      <c r="A18" s="36">
        <v>4645</v>
      </c>
      <c r="B18" s="129" t="s">
        <v>80</v>
      </c>
      <c r="C18" s="297" t="s">
        <v>79</v>
      </c>
      <c r="D18" s="297" t="s">
        <v>172</v>
      </c>
      <c r="E18" s="297" t="s">
        <v>192</v>
      </c>
      <c r="F18" s="101">
        <v>556329254</v>
      </c>
      <c r="G18" s="101" t="s">
        <v>161</v>
      </c>
      <c r="H18" s="101">
        <v>480329254</v>
      </c>
      <c r="I18" s="101">
        <v>480329254</v>
      </c>
      <c r="J18" s="34">
        <v>42588</v>
      </c>
      <c r="K18" s="34">
        <f t="shared" si="2"/>
        <v>42623</v>
      </c>
      <c r="L18" s="101">
        <v>352028273</v>
      </c>
      <c r="M18" s="34">
        <f t="shared" si="3"/>
        <v>42798</v>
      </c>
      <c r="N18" s="101"/>
      <c r="O18" s="101">
        <f>H18-L18</f>
        <v>128300981</v>
      </c>
      <c r="P18" s="34">
        <v>42623</v>
      </c>
    </row>
    <row r="19" spans="1:16" s="36" customFormat="1">
      <c r="B19" s="129"/>
      <c r="C19" s="297"/>
      <c r="D19" s="43"/>
      <c r="E19" s="297"/>
      <c r="F19" s="101"/>
      <c r="G19" s="218"/>
      <c r="H19" s="101"/>
      <c r="I19" s="101"/>
      <c r="J19" s="34"/>
      <c r="K19" s="34"/>
      <c r="L19" s="101"/>
      <c r="M19" s="34"/>
      <c r="N19" s="101"/>
      <c r="O19" s="101"/>
      <c r="P19" s="69"/>
    </row>
    <row r="20" spans="1:16">
      <c r="A20" s="239"/>
      <c r="C20" s="78" t="s">
        <v>6</v>
      </c>
      <c r="D20" s="5"/>
      <c r="E20" s="99"/>
      <c r="F20" s="108">
        <f>SUM(F9:F19)</f>
        <v>1687872267</v>
      </c>
      <c r="H20" s="108">
        <f>SUM(H9:H19)</f>
        <v>1611872267</v>
      </c>
      <c r="I20" s="108">
        <f>SUM(I9:I19)</f>
        <v>1611872267</v>
      </c>
      <c r="L20" s="108">
        <f>SUM(L9:L19)</f>
        <v>1453571286</v>
      </c>
      <c r="M20" s="303"/>
      <c r="N20" s="108">
        <f>SUM(N9:N19)</f>
        <v>0</v>
      </c>
      <c r="O20" s="108">
        <f>SUM(O9:O19)</f>
        <v>758300227</v>
      </c>
      <c r="P20" s="13"/>
    </row>
    <row r="21" spans="1:16">
      <c r="A21" s="239"/>
      <c r="C21" s="78"/>
      <c r="D21" s="5"/>
      <c r="E21" s="5"/>
      <c r="L21" s="304"/>
      <c r="M21" s="305"/>
      <c r="N21" s="306"/>
      <c r="O21" s="306"/>
    </row>
    <row r="22" spans="1:16" ht="11.25" customHeight="1">
      <c r="A22" s="239"/>
      <c r="C22" s="78" t="s">
        <v>45</v>
      </c>
      <c r="D22" s="5"/>
      <c r="E22" s="5"/>
      <c r="F22" s="106">
        <f>H20-I20</f>
        <v>0</v>
      </c>
      <c r="L22" s="304"/>
      <c r="M22" s="305"/>
      <c r="N22" s="306"/>
      <c r="O22" s="306"/>
    </row>
    <row r="23" spans="1:16" ht="11.25" customHeight="1">
      <c r="A23" s="239"/>
      <c r="C23" s="78"/>
      <c r="D23" s="5"/>
      <c r="E23" s="5"/>
      <c r="F23" s="106"/>
      <c r="I23" s="397"/>
      <c r="L23" s="304"/>
      <c r="M23" s="305"/>
      <c r="N23" s="306"/>
      <c r="O23" s="453"/>
    </row>
    <row r="24" spans="1:16" ht="11.25" customHeight="1">
      <c r="A24" s="265"/>
      <c r="C24" s="129"/>
      <c r="D24" s="40"/>
      <c r="E24" s="40"/>
      <c r="F24" s="347"/>
      <c r="G24" s="397"/>
      <c r="I24" s="397"/>
      <c r="L24" s="304"/>
      <c r="M24" s="305"/>
      <c r="N24" s="306"/>
      <c r="O24" s="306"/>
    </row>
    <row r="25" spans="1:16" ht="11.25" customHeight="1">
      <c r="A25" s="239"/>
      <c r="C25" s="78"/>
      <c r="D25" s="5"/>
      <c r="E25" s="5"/>
      <c r="F25" s="106"/>
      <c r="I25" s="397"/>
      <c r="J25" s="450"/>
      <c r="K25" s="3"/>
      <c r="L25" s="304"/>
      <c r="M25" s="305"/>
      <c r="N25" s="306"/>
      <c r="O25" s="306"/>
    </row>
    <row r="26" spans="1:16">
      <c r="C26" s="78" t="s">
        <v>10</v>
      </c>
      <c r="D26" s="5"/>
      <c r="E26" s="5"/>
      <c r="F26" s="302">
        <f>C1-I20+O20+E30</f>
        <v>128300981</v>
      </c>
      <c r="G26" s="146" t="s">
        <v>570</v>
      </c>
      <c r="H26" s="116"/>
      <c r="I26" s="628"/>
      <c r="J26" s="450"/>
      <c r="K26" s="3"/>
      <c r="L26" s="307"/>
      <c r="M26" s="305"/>
      <c r="N26" s="101"/>
      <c r="O26" s="306"/>
    </row>
    <row r="27" spans="1:16">
      <c r="C27" s="78"/>
      <c r="D27" s="5"/>
      <c r="E27" s="5"/>
      <c r="F27" s="214"/>
      <c r="I27" s="397"/>
      <c r="J27" s="450"/>
      <c r="K27" s="3"/>
      <c r="L27" s="307"/>
      <c r="M27" s="305"/>
      <c r="N27" s="306"/>
      <c r="O27" s="306"/>
    </row>
    <row r="28" spans="1:16">
      <c r="C28" s="144"/>
      <c r="D28" s="11"/>
      <c r="E28" s="214"/>
      <c r="F28" s="214"/>
      <c r="G28" s="397"/>
      <c r="H28" s="267"/>
      <c r="I28" s="397"/>
      <c r="J28" s="450"/>
      <c r="K28" s="3"/>
      <c r="L28" s="304"/>
      <c r="M28" s="305"/>
      <c r="N28" s="310"/>
      <c r="O28" s="306"/>
    </row>
    <row r="29" spans="1:16">
      <c r="C29" s="144"/>
      <c r="D29" s="40"/>
      <c r="E29" s="40"/>
      <c r="F29" s="101"/>
      <c r="I29" s="397"/>
      <c r="J29" s="450"/>
      <c r="K29" s="3"/>
      <c r="L29" s="304"/>
      <c r="M29" s="305"/>
      <c r="N29" s="306"/>
      <c r="O29" s="306"/>
    </row>
    <row r="30" spans="1:16">
      <c r="C30" s="297"/>
      <c r="D30" s="241"/>
      <c r="E30" s="418"/>
      <c r="F30" s="562"/>
      <c r="G30" s="415"/>
      <c r="I30" s="397"/>
      <c r="J30" s="3"/>
      <c r="L30" s="304"/>
      <c r="M30" s="305"/>
      <c r="N30" s="306"/>
      <c r="O30" s="306"/>
    </row>
    <row r="31" spans="1:16">
      <c r="C31" s="144"/>
      <c r="D31" s="241"/>
      <c r="E31" s="418"/>
      <c r="F31" s="214"/>
      <c r="G31" s="419"/>
      <c r="I31" s="397"/>
      <c r="J31" s="3"/>
    </row>
    <row r="32" spans="1:16">
      <c r="E32" s="564"/>
      <c r="G32" s="368"/>
      <c r="I32" s="358"/>
      <c r="J32" s="3"/>
    </row>
    <row r="33" spans="4:15">
      <c r="F33" s="462"/>
      <c r="G33" s="420"/>
      <c r="I33" s="629"/>
    </row>
    <row r="34" spans="4:15">
      <c r="I34" s="629"/>
    </row>
    <row r="35" spans="4:15">
      <c r="G35" s="104"/>
      <c r="I35" s="629"/>
    </row>
    <row r="36" spans="4:15">
      <c r="F36" s="456"/>
      <c r="G36" s="424"/>
    </row>
    <row r="37" spans="4:15">
      <c r="F37" s="104"/>
    </row>
    <row r="38" spans="4:15">
      <c r="F38" s="104"/>
    </row>
    <row r="39" spans="4:15">
      <c r="F39" s="101"/>
    </row>
    <row r="40" spans="4:15">
      <c r="F40" s="104"/>
    </row>
    <row r="41" spans="4:15">
      <c r="F41" s="104"/>
    </row>
    <row r="42" spans="4:15">
      <c r="F42" s="104"/>
    </row>
    <row r="43" spans="4:15">
      <c r="D43" s="1" t="s">
        <v>7</v>
      </c>
      <c r="F43" s="104"/>
      <c r="G43" s="1"/>
      <c r="H43" s="1"/>
      <c r="I43" s="1"/>
      <c r="L43" s="1"/>
      <c r="N43" s="1"/>
      <c r="O43" s="1"/>
    </row>
    <row r="44" spans="4:15">
      <c r="F44" s="456"/>
    </row>
    <row r="45" spans="4:15">
      <c r="F45" s="456"/>
    </row>
  </sheetData>
  <phoneticPr fontId="0" type="noConversion"/>
  <pageMargins left="0.75" right="0.75" top="1" bottom="1" header="0.5" footer="0.5"/>
  <pageSetup scale="26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V21"/>
  <sheetViews>
    <sheetView workbookViewId="0">
      <selection activeCell="C15" sqref="C15"/>
    </sheetView>
  </sheetViews>
  <sheetFormatPr defaultColWidth="10.85546875" defaultRowHeight="12"/>
  <cols>
    <col min="1" max="1" width="11.7109375" style="17" customWidth="1"/>
    <col min="2" max="2" width="11" style="17" bestFit="1" customWidth="1"/>
    <col min="3" max="3" width="38.28515625" style="17" bestFit="1" customWidth="1"/>
    <col min="4" max="4" width="37.28515625" style="17" bestFit="1" customWidth="1"/>
    <col min="5" max="5" width="12.140625" style="17" bestFit="1" customWidth="1"/>
    <col min="6" max="6" width="13.85546875" style="41" bestFit="1" customWidth="1"/>
    <col min="7" max="7" width="13.28515625" style="41" bestFit="1" customWidth="1"/>
    <col min="8" max="8" width="13.7109375" style="17" bestFit="1" customWidth="1"/>
    <col min="9" max="9" width="12" style="17" customWidth="1"/>
    <col min="10" max="10" width="13.28515625" style="41" bestFit="1" customWidth="1"/>
    <col min="11" max="11" width="12" style="17" customWidth="1"/>
    <col min="12" max="12" width="13.85546875" style="42" bestFit="1" customWidth="1"/>
    <col min="13" max="13" width="13.85546875" style="41" bestFit="1" customWidth="1"/>
    <col min="14" max="16384" width="10.85546875" style="17"/>
  </cols>
  <sheetData>
    <row r="1" spans="1:256">
      <c r="A1" s="20" t="s">
        <v>49</v>
      </c>
      <c r="B1" s="21"/>
      <c r="C1" s="22">
        <f>Totals!D8</f>
        <v>304456751</v>
      </c>
      <c r="D1" s="446"/>
      <c r="E1" s="447"/>
      <c r="F1" s="23"/>
      <c r="G1" s="23"/>
      <c r="H1" s="26"/>
      <c r="I1" s="26"/>
      <c r="J1" s="23"/>
      <c r="K1" s="26"/>
      <c r="L1" s="54"/>
      <c r="M1" s="23"/>
      <c r="N1" s="27"/>
    </row>
    <row r="2" spans="1:256">
      <c r="A2" s="29" t="s">
        <v>0</v>
      </c>
      <c r="B2" s="36"/>
      <c r="C2" s="10"/>
      <c r="D2" s="10"/>
      <c r="E2" s="10"/>
      <c r="F2" s="31"/>
      <c r="G2" s="31"/>
      <c r="H2" s="34"/>
      <c r="I2" s="34"/>
      <c r="J2" s="31"/>
      <c r="K2" s="34"/>
      <c r="L2" s="56"/>
      <c r="M2" s="31"/>
      <c r="N2" s="35"/>
    </row>
    <row r="3" spans="1:256">
      <c r="A3" s="29"/>
      <c r="B3" s="36"/>
      <c r="C3" s="10"/>
      <c r="D3" s="10"/>
      <c r="E3" s="10"/>
      <c r="F3" s="31"/>
      <c r="G3" s="31"/>
      <c r="H3" s="34"/>
      <c r="I3" s="34"/>
      <c r="J3" s="31"/>
      <c r="K3" s="34"/>
      <c r="L3" s="56"/>
      <c r="M3" s="31"/>
      <c r="N3" s="35"/>
    </row>
    <row r="4" spans="1:256">
      <c r="A4" s="37" t="s">
        <v>34</v>
      </c>
      <c r="B4" s="10" t="s">
        <v>39</v>
      </c>
      <c r="C4" s="10" t="s">
        <v>32</v>
      </c>
      <c r="D4" s="30" t="s">
        <v>51</v>
      </c>
      <c r="E4" s="30" t="s">
        <v>47</v>
      </c>
      <c r="F4" s="38" t="s">
        <v>24</v>
      </c>
      <c r="G4" s="38" t="s">
        <v>8</v>
      </c>
      <c r="H4" s="9" t="s">
        <v>14</v>
      </c>
      <c r="I4" s="9" t="s">
        <v>36</v>
      </c>
      <c r="J4" s="38" t="s">
        <v>4</v>
      </c>
      <c r="K4" s="9" t="s">
        <v>344</v>
      </c>
      <c r="L4" s="58" t="s">
        <v>28</v>
      </c>
      <c r="M4" s="38" t="s">
        <v>46</v>
      </c>
      <c r="N4" s="35" t="s">
        <v>29</v>
      </c>
    </row>
    <row r="5" spans="1:256">
      <c r="A5" s="37" t="s">
        <v>50</v>
      </c>
      <c r="B5" s="36"/>
      <c r="D5" s="30"/>
      <c r="E5" s="30"/>
      <c r="F5" s="38" t="s">
        <v>44</v>
      </c>
      <c r="G5" s="38" t="s">
        <v>44</v>
      </c>
      <c r="H5" s="9" t="s">
        <v>9</v>
      </c>
      <c r="I5" s="9" t="s">
        <v>18</v>
      </c>
      <c r="J5" s="38" t="s">
        <v>44</v>
      </c>
      <c r="K5" s="9" t="s">
        <v>18</v>
      </c>
      <c r="L5" s="58" t="s">
        <v>44</v>
      </c>
      <c r="M5" s="38" t="s">
        <v>44</v>
      </c>
      <c r="N5" s="35" t="s">
        <v>5</v>
      </c>
    </row>
    <row r="6" spans="1:256" s="5" customFormat="1" ht="12.75" thickBot="1">
      <c r="A6" s="44" t="s">
        <v>17</v>
      </c>
      <c r="B6" s="45"/>
      <c r="C6" s="39"/>
      <c r="D6" s="46"/>
      <c r="E6" s="46"/>
      <c r="F6" s="74"/>
      <c r="G6" s="74"/>
      <c r="H6" s="47"/>
      <c r="I6" s="47"/>
      <c r="J6" s="74"/>
      <c r="K6" s="47"/>
      <c r="L6" s="60"/>
      <c r="M6" s="74"/>
      <c r="N6" s="48" t="s">
        <v>9</v>
      </c>
      <c r="O6" s="17"/>
      <c r="P6" s="17"/>
      <c r="Q6" s="17"/>
      <c r="R6" s="17"/>
      <c r="S6" s="17"/>
      <c r="T6" s="17"/>
    </row>
    <row r="7" spans="1:256">
      <c r="A7" s="400">
        <v>4559</v>
      </c>
      <c r="B7" s="264" t="s">
        <v>86</v>
      </c>
      <c r="C7" s="129" t="s">
        <v>322</v>
      </c>
      <c r="D7" s="297" t="s">
        <v>323</v>
      </c>
      <c r="E7" s="17" t="s">
        <v>192</v>
      </c>
      <c r="F7" s="93">
        <v>100000000</v>
      </c>
      <c r="G7" s="93">
        <v>100000000</v>
      </c>
      <c r="H7" s="3">
        <v>42381</v>
      </c>
      <c r="I7" s="3">
        <f>H7+35</f>
        <v>42416</v>
      </c>
      <c r="J7" s="93">
        <v>100000000</v>
      </c>
      <c r="K7" s="3">
        <f>H7+210</f>
        <v>42591</v>
      </c>
      <c r="L7" s="318">
        <v>69990168.900000006</v>
      </c>
      <c r="M7" s="81">
        <f>J7-L7</f>
        <v>30009831.099999994</v>
      </c>
      <c r="N7" s="34">
        <v>42556</v>
      </c>
      <c r="O7" s="17" t="s">
        <v>481</v>
      </c>
    </row>
    <row r="8" spans="1:256">
      <c r="A8" s="265"/>
      <c r="B8" s="264"/>
      <c r="C8" s="266"/>
      <c r="D8" s="266"/>
      <c r="E8" s="191"/>
      <c r="F8" s="93"/>
      <c r="G8" s="93"/>
      <c r="H8" s="3"/>
      <c r="I8" s="3"/>
      <c r="J8" s="93"/>
      <c r="K8" s="3"/>
      <c r="L8" s="298"/>
      <c r="M8" s="300"/>
      <c r="N8" s="34"/>
    </row>
    <row r="9" spans="1:256" s="36" customFormat="1" ht="12.75" thickBot="1">
      <c r="A9" s="17"/>
      <c r="C9" s="5" t="s">
        <v>6</v>
      </c>
      <c r="D9" s="5"/>
      <c r="E9" s="5"/>
      <c r="F9" s="95">
        <f>SUM(F7:F8)</f>
        <v>100000000</v>
      </c>
      <c r="G9" s="95">
        <f>SUM(G7:G8)</f>
        <v>100000000</v>
      </c>
      <c r="H9" s="15"/>
      <c r="I9" s="15"/>
      <c r="J9" s="95">
        <f>SUM(J7:J8)</f>
        <v>100000000</v>
      </c>
      <c r="K9" s="33"/>
      <c r="L9" s="96">
        <f>SUM(L7:L8)</f>
        <v>69990168.900000006</v>
      </c>
      <c r="M9" s="95">
        <f>SUM(M7:M8)</f>
        <v>30009831.099999994</v>
      </c>
      <c r="N9" s="7"/>
      <c r="O9" s="17"/>
      <c r="P9" s="17"/>
      <c r="Q9" s="17"/>
      <c r="R9" s="17"/>
      <c r="S9" s="17"/>
      <c r="T9" s="17"/>
    </row>
    <row r="10" spans="1:256" s="28" customFormat="1">
      <c r="A10" s="17"/>
      <c r="B10" s="17"/>
      <c r="C10" s="5"/>
      <c r="D10" s="5"/>
      <c r="E10" s="5"/>
      <c r="F10" s="6"/>
      <c r="G10" s="41"/>
      <c r="H10" s="15"/>
      <c r="I10" s="15"/>
      <c r="J10" s="41"/>
      <c r="K10" s="15"/>
      <c r="L10" s="42"/>
      <c r="M10" s="41"/>
      <c r="N10" s="17"/>
      <c r="O10" s="17"/>
      <c r="P10" s="17"/>
      <c r="Q10" s="17"/>
      <c r="R10" s="17"/>
      <c r="S10" s="17"/>
      <c r="T10" s="17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>
      <c r="C11" s="5" t="s">
        <v>45</v>
      </c>
      <c r="D11" s="5"/>
      <c r="E11" s="5"/>
      <c r="F11" s="41">
        <f>SUM(F9-G9)</f>
        <v>0</v>
      </c>
      <c r="H11" s="15"/>
      <c r="I11" s="15"/>
      <c r="K11" s="15"/>
    </row>
    <row r="12" spans="1:256" s="5" customFormat="1">
      <c r="A12" s="17"/>
      <c r="B12" s="17"/>
      <c r="F12" s="41"/>
      <c r="G12" s="41"/>
      <c r="H12" s="15"/>
      <c r="I12" s="15"/>
      <c r="J12" s="41"/>
      <c r="K12" s="15"/>
      <c r="L12" s="42"/>
      <c r="M12" s="41"/>
      <c r="N12" s="17"/>
      <c r="O12" s="17"/>
      <c r="P12" s="17"/>
      <c r="Q12" s="17"/>
      <c r="R12" s="17"/>
      <c r="S12" s="17"/>
      <c r="T12" s="17"/>
    </row>
    <row r="13" spans="1:256" s="5" customFormat="1">
      <c r="A13" s="17"/>
      <c r="B13" s="17"/>
      <c r="C13" s="78" t="s">
        <v>10</v>
      </c>
      <c r="F13" s="435">
        <f>C1-G9+M9+E16</f>
        <v>234466582.09999999</v>
      </c>
      <c r="G13" s="146" t="s">
        <v>570</v>
      </c>
      <c r="H13" s="15"/>
      <c r="I13" s="15"/>
      <c r="J13" s="41"/>
      <c r="K13" s="51"/>
      <c r="L13" s="42"/>
      <c r="M13" s="41"/>
      <c r="N13" s="17"/>
      <c r="O13" s="17"/>
      <c r="P13" s="17"/>
      <c r="Q13" s="17"/>
      <c r="R13" s="17"/>
      <c r="S13" s="17"/>
      <c r="T13" s="17"/>
    </row>
    <row r="14" spans="1:256">
      <c r="M14" s="296"/>
    </row>
    <row r="15" spans="1:256">
      <c r="C15" s="5"/>
      <c r="D15" s="5"/>
      <c r="E15" s="5"/>
      <c r="G15" s="669"/>
      <c r="H15" s="669"/>
    </row>
    <row r="16" spans="1:256">
      <c r="E16" s="315"/>
      <c r="F16" s="287"/>
    </row>
    <row r="17" spans="3:6">
      <c r="C17" s="5"/>
      <c r="D17" s="5"/>
      <c r="E17" s="5"/>
      <c r="F17" s="42"/>
    </row>
    <row r="18" spans="3:6">
      <c r="E18" s="148"/>
    </row>
    <row r="19" spans="3:6">
      <c r="E19" s="148"/>
      <c r="F19" s="244"/>
    </row>
    <row r="20" spans="3:6">
      <c r="E20" s="318"/>
      <c r="F20" s="243"/>
    </row>
    <row r="21" spans="3:6">
      <c r="E21" s="318"/>
      <c r="F21" s="243"/>
    </row>
  </sheetData>
  <mergeCells count="1">
    <mergeCell ref="G15:H15"/>
  </mergeCells>
  <phoneticPr fontId="0" type="noConversion"/>
  <pageMargins left="0.75" right="0.75" top="1" bottom="1" header="0.5" footer="0.5"/>
  <pageSetup scale="5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28"/>
  <sheetViews>
    <sheetView zoomScaleNormal="100" workbookViewId="0">
      <pane ySplit="6" topLeftCell="A7" activePane="bottomLeft" state="frozen"/>
      <selection activeCell="K30" sqref="I28:K30"/>
      <selection pane="bottomLeft" activeCell="L11" sqref="L11"/>
    </sheetView>
  </sheetViews>
  <sheetFormatPr defaultColWidth="10.85546875" defaultRowHeight="12"/>
  <cols>
    <col min="1" max="1" width="8.28515625" style="166" customWidth="1"/>
    <col min="2" max="2" width="12" style="166" bestFit="1" customWidth="1"/>
    <col min="3" max="3" width="17.85546875" style="166" bestFit="1" customWidth="1"/>
    <col min="4" max="4" width="31.85546875" style="166" bestFit="1" customWidth="1"/>
    <col min="5" max="5" width="10.28515625" style="166" bestFit="1" customWidth="1"/>
    <col min="6" max="6" width="12.85546875" style="181" bestFit="1" customWidth="1"/>
    <col min="7" max="7" width="12" style="181" bestFit="1" customWidth="1"/>
    <col min="8" max="8" width="13.7109375" style="166" customWidth="1"/>
    <col min="9" max="9" width="9.5703125" style="166" bestFit="1" customWidth="1"/>
    <col min="10" max="10" width="11.140625" style="181" bestFit="1" customWidth="1"/>
    <col min="11" max="11" width="10.85546875" style="166" bestFit="1" customWidth="1"/>
    <col min="12" max="12" width="13" style="181" bestFit="1" customWidth="1"/>
    <col min="13" max="13" width="12.42578125" style="181" bestFit="1" customWidth="1"/>
    <col min="14" max="14" width="9.42578125" style="166" bestFit="1" customWidth="1"/>
    <col min="15" max="16384" width="10.85546875" style="166"/>
  </cols>
  <sheetData>
    <row r="1" spans="1:20" s="157" customFormat="1">
      <c r="A1" s="153" t="s">
        <v>25</v>
      </c>
      <c r="B1" s="154"/>
      <c r="C1" s="155">
        <f>Totals!E8</f>
        <v>60891350</v>
      </c>
      <c r="D1" s="155"/>
      <c r="E1" s="155"/>
      <c r="F1" s="182"/>
      <c r="G1" s="182"/>
      <c r="H1" s="158"/>
      <c r="I1" s="183"/>
      <c r="J1" s="184"/>
      <c r="K1" s="158"/>
      <c r="L1" s="182"/>
      <c r="M1" s="182"/>
      <c r="N1" s="27"/>
      <c r="O1" s="166"/>
      <c r="P1" s="166"/>
      <c r="Q1" s="166"/>
      <c r="R1" s="166"/>
      <c r="S1" s="166"/>
      <c r="T1" s="166"/>
    </row>
    <row r="2" spans="1:20" s="162" customFormat="1">
      <c r="A2" s="160" t="s">
        <v>38</v>
      </c>
      <c r="B2" s="159"/>
      <c r="C2" s="156"/>
      <c r="D2" s="156"/>
      <c r="E2" s="156"/>
      <c r="F2" s="161"/>
      <c r="G2" s="161"/>
      <c r="H2" s="163"/>
      <c r="I2" s="185"/>
      <c r="J2" s="186"/>
      <c r="K2" s="163"/>
      <c r="L2" s="161"/>
      <c r="M2" s="161"/>
      <c r="N2" s="164"/>
      <c r="O2" s="166"/>
      <c r="P2" s="166"/>
      <c r="Q2" s="166"/>
      <c r="R2" s="166"/>
      <c r="S2" s="166"/>
      <c r="T2" s="166"/>
    </row>
    <row r="3" spans="1:20" s="162" customFormat="1">
      <c r="A3" s="160"/>
      <c r="B3" s="159"/>
      <c r="C3" s="156"/>
      <c r="D3" s="156"/>
      <c r="E3" s="156"/>
      <c r="F3" s="161"/>
      <c r="G3" s="161"/>
      <c r="H3" s="163"/>
      <c r="I3" s="163"/>
      <c r="J3" s="161"/>
      <c r="K3" s="163"/>
      <c r="L3" s="161"/>
      <c r="M3" s="161"/>
      <c r="N3" s="164"/>
      <c r="O3" s="166"/>
      <c r="P3" s="166"/>
      <c r="Q3" s="166"/>
      <c r="R3" s="166"/>
      <c r="S3" s="166"/>
      <c r="T3" s="166"/>
    </row>
    <row r="4" spans="1:20" s="169" customFormat="1">
      <c r="A4" s="165" t="s">
        <v>34</v>
      </c>
      <c r="B4" s="159" t="s">
        <v>39</v>
      </c>
      <c r="D4" s="159"/>
      <c r="E4" s="159"/>
      <c r="F4" s="167" t="s">
        <v>24</v>
      </c>
      <c r="G4" s="167" t="s">
        <v>8</v>
      </c>
      <c r="H4" s="168" t="s">
        <v>14</v>
      </c>
      <c r="I4" s="168" t="s">
        <v>36</v>
      </c>
      <c r="J4" s="167" t="s">
        <v>4</v>
      </c>
      <c r="K4" s="168" t="s">
        <v>345</v>
      </c>
      <c r="L4" s="167" t="s">
        <v>28</v>
      </c>
      <c r="M4" s="167" t="s">
        <v>46</v>
      </c>
      <c r="N4" s="164" t="s">
        <v>23</v>
      </c>
      <c r="O4" s="166"/>
      <c r="P4" s="166"/>
      <c r="Q4" s="166"/>
      <c r="R4" s="166"/>
      <c r="S4" s="166"/>
      <c r="T4" s="166"/>
    </row>
    <row r="5" spans="1:20" s="169" customFormat="1">
      <c r="A5" s="165" t="s">
        <v>50</v>
      </c>
      <c r="B5" s="162"/>
      <c r="D5" s="156"/>
      <c r="E5" s="156"/>
      <c r="F5" s="167" t="s">
        <v>44</v>
      </c>
      <c r="G5" s="167" t="s">
        <v>44</v>
      </c>
      <c r="H5" s="168" t="s">
        <v>9</v>
      </c>
      <c r="I5" s="168" t="s">
        <v>18</v>
      </c>
      <c r="J5" s="167" t="s">
        <v>44</v>
      </c>
      <c r="K5" s="168" t="s">
        <v>18</v>
      </c>
      <c r="L5" s="167" t="s">
        <v>44</v>
      </c>
      <c r="M5" s="167" t="s">
        <v>44</v>
      </c>
      <c r="N5" s="164" t="s">
        <v>5</v>
      </c>
      <c r="O5" s="166"/>
      <c r="P5" s="166"/>
      <c r="Q5" s="166"/>
      <c r="R5" s="166"/>
      <c r="S5" s="166"/>
      <c r="T5" s="166"/>
    </row>
    <row r="6" spans="1:20" s="171" customFormat="1" ht="12.75" thickBot="1">
      <c r="A6" s="170" t="s">
        <v>17</v>
      </c>
      <c r="B6" s="187"/>
      <c r="C6" s="171" t="s">
        <v>32</v>
      </c>
      <c r="D6" s="188" t="s">
        <v>51</v>
      </c>
      <c r="E6" s="188" t="s">
        <v>47</v>
      </c>
      <c r="F6" s="172"/>
      <c r="G6" s="172"/>
      <c r="H6" s="173"/>
      <c r="I6" s="173"/>
      <c r="J6" s="172"/>
      <c r="K6" s="173"/>
      <c r="L6" s="172"/>
      <c r="M6" s="172"/>
      <c r="N6" s="174" t="s">
        <v>9</v>
      </c>
      <c r="O6" s="166"/>
      <c r="P6" s="166"/>
      <c r="Q6" s="166"/>
      <c r="R6" s="166"/>
      <c r="S6" s="166"/>
      <c r="T6" s="166"/>
    </row>
    <row r="7" spans="1:20" s="325" customFormat="1">
      <c r="A7" s="129"/>
      <c r="B7" s="440"/>
      <c r="C7" s="129"/>
      <c r="D7" s="297"/>
      <c r="E7" s="297"/>
      <c r="F7" s="438"/>
      <c r="G7" s="438"/>
      <c r="H7" s="340"/>
      <c r="I7" s="340"/>
      <c r="J7" s="232"/>
      <c r="K7" s="340"/>
      <c r="L7" s="438"/>
      <c r="M7" s="438"/>
      <c r="N7" s="441"/>
    </row>
    <row r="8" spans="1:20" s="325" customFormat="1">
      <c r="A8" s="129"/>
      <c r="B8" s="440"/>
      <c r="C8" s="129"/>
      <c r="D8" s="297"/>
      <c r="E8" s="297"/>
      <c r="F8" s="438"/>
      <c r="G8" s="438"/>
      <c r="H8" s="340"/>
      <c r="I8" s="340"/>
      <c r="J8" s="438"/>
      <c r="K8" s="340"/>
      <c r="L8" s="438"/>
      <c r="M8" s="438"/>
      <c r="N8" s="441"/>
    </row>
    <row r="9" spans="1:20" s="162" customFormat="1">
      <c r="C9" s="439"/>
      <c r="H9" s="163"/>
      <c r="I9" s="163"/>
      <c r="J9" s="161"/>
      <c r="K9" s="340"/>
      <c r="L9" s="161"/>
      <c r="M9" s="161"/>
      <c r="N9" s="163"/>
      <c r="O9" s="166"/>
      <c r="P9" s="166"/>
      <c r="Q9" s="166"/>
      <c r="R9" s="166"/>
      <c r="S9" s="166"/>
      <c r="T9" s="166"/>
    </row>
    <row r="10" spans="1:20" s="323" customFormat="1">
      <c r="A10" s="5"/>
      <c r="B10" s="237"/>
      <c r="C10" s="4"/>
      <c r="D10" s="4"/>
      <c r="E10" s="4"/>
      <c r="F10" s="214"/>
      <c r="G10" s="214"/>
      <c r="H10" s="168"/>
      <c r="I10" s="319"/>
      <c r="J10" s="214"/>
      <c r="K10" s="319"/>
      <c r="L10" s="320"/>
      <c r="M10" s="321"/>
      <c r="N10" s="168"/>
      <c r="O10" s="322"/>
      <c r="P10" s="322"/>
      <c r="Q10" s="322"/>
    </row>
    <row r="11" spans="1:20">
      <c r="B11" s="162"/>
      <c r="C11" s="169" t="s">
        <v>6</v>
      </c>
      <c r="D11" s="169"/>
      <c r="E11" s="169"/>
      <c r="F11" s="436">
        <f>SUM(F7:F10)</f>
        <v>0</v>
      </c>
      <c r="G11" s="180">
        <f>SUM(G7:G10)</f>
        <v>0</v>
      </c>
      <c r="H11" s="179"/>
      <c r="I11" s="179"/>
      <c r="J11" s="180">
        <f>SUM(J7:J10)</f>
        <v>0</v>
      </c>
      <c r="K11" s="189"/>
      <c r="L11" s="180">
        <f>SUM(L7:L10)</f>
        <v>0</v>
      </c>
      <c r="M11" s="180">
        <f>SUM(M7:M10)</f>
        <v>0</v>
      </c>
      <c r="N11" s="178"/>
    </row>
    <row r="12" spans="1:20">
      <c r="B12" s="162"/>
      <c r="C12" s="169"/>
      <c r="D12" s="169"/>
      <c r="E12" s="169"/>
      <c r="F12" s="175"/>
      <c r="G12" s="177"/>
      <c r="H12" s="179"/>
      <c r="I12" s="179"/>
      <c r="J12" s="161"/>
      <c r="K12" s="189"/>
      <c r="L12" s="161"/>
      <c r="M12" s="161"/>
      <c r="N12" s="178"/>
    </row>
    <row r="13" spans="1:20">
      <c r="C13" s="169" t="s">
        <v>45</v>
      </c>
      <c r="D13" s="169"/>
      <c r="E13" s="169"/>
      <c r="F13" s="177">
        <f>F11-G11</f>
        <v>0</v>
      </c>
      <c r="G13" s="177"/>
      <c r="H13" s="179"/>
      <c r="I13" s="179"/>
      <c r="K13" s="179"/>
    </row>
    <row r="14" spans="1:20">
      <c r="C14" s="169"/>
      <c r="D14" s="169"/>
      <c r="E14" s="169"/>
      <c r="F14" s="177"/>
      <c r="G14" s="177"/>
      <c r="H14" s="179"/>
      <c r="I14" s="179"/>
      <c r="K14" s="179"/>
    </row>
    <row r="15" spans="1:20" s="169" customFormat="1">
      <c r="A15" s="166"/>
      <c r="B15" s="166"/>
      <c r="C15" s="78" t="s">
        <v>10</v>
      </c>
      <c r="F15" s="436">
        <f>+C1-G11+M11</f>
        <v>60891350</v>
      </c>
      <c r="G15" s="146" t="s">
        <v>570</v>
      </c>
      <c r="H15" s="179"/>
      <c r="I15" s="179"/>
      <c r="J15" s="181"/>
      <c r="K15" s="190"/>
      <c r="L15" s="181"/>
      <c r="M15" s="181"/>
      <c r="N15" s="166"/>
      <c r="O15" s="166"/>
      <c r="P15" s="166"/>
      <c r="Q15" s="166"/>
      <c r="R15" s="166"/>
      <c r="S15" s="166"/>
      <c r="T15" s="166"/>
    </row>
    <row r="16" spans="1:20">
      <c r="A16" s="191"/>
      <c r="H16" s="179"/>
      <c r="I16" s="179"/>
      <c r="K16" s="179"/>
      <c r="N16" s="178"/>
      <c r="O16" s="159"/>
      <c r="P16" s="159"/>
      <c r="Q16" s="159"/>
      <c r="R16" s="159"/>
      <c r="S16" s="159"/>
      <c r="T16" s="159"/>
    </row>
    <row r="17" spans="3:9">
      <c r="C17" s="169"/>
      <c r="D17" s="169"/>
      <c r="E17" s="169"/>
      <c r="F17" s="161"/>
      <c r="G17" s="268"/>
      <c r="H17" s="268"/>
    </row>
    <row r="19" spans="3:9">
      <c r="C19" s="169"/>
      <c r="D19" s="169"/>
      <c r="E19" s="169"/>
      <c r="F19" s="192"/>
    </row>
    <row r="23" spans="3:9">
      <c r="F23" s="288"/>
    </row>
    <row r="28" spans="3:9">
      <c r="I28" s="166" t="s">
        <v>7</v>
      </c>
    </row>
  </sheetData>
  <phoneticPr fontId="0" type="noConversion"/>
  <pageMargins left="0.75" right="0.75" top="1" bottom="1" header="0.5" footer="0.5"/>
  <pageSetup scale="73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35"/>
  <sheetViews>
    <sheetView workbookViewId="0">
      <selection activeCell="A14" sqref="A14:XFD14"/>
    </sheetView>
  </sheetViews>
  <sheetFormatPr defaultColWidth="10.85546875" defaultRowHeight="12"/>
  <cols>
    <col min="1" max="1" width="9.42578125" style="17" customWidth="1"/>
    <col min="2" max="2" width="12.140625" style="17" bestFit="1" customWidth="1"/>
    <col min="3" max="3" width="11.42578125" style="17" bestFit="1" customWidth="1"/>
    <col min="4" max="4" width="51" style="17" bestFit="1" customWidth="1"/>
    <col min="5" max="5" width="15" style="17" bestFit="1" customWidth="1"/>
    <col min="6" max="6" width="12.85546875" style="76" customWidth="1"/>
    <col min="7" max="7" width="13.5703125" style="41" customWidth="1"/>
    <col min="8" max="8" width="14.28515625" style="17" customWidth="1"/>
    <col min="9" max="9" width="12" style="17" bestFit="1" customWidth="1"/>
    <col min="10" max="10" width="12.5703125" style="41" bestFit="1" customWidth="1"/>
    <col min="11" max="11" width="10.140625" style="17" bestFit="1" customWidth="1"/>
    <col min="12" max="12" width="14.140625" style="283" customWidth="1"/>
    <col min="13" max="13" width="15.140625" style="16" bestFit="1" customWidth="1"/>
    <col min="14" max="14" width="10.140625" style="17" customWidth="1"/>
    <col min="15" max="15" width="7.85546875" style="17" bestFit="1" customWidth="1"/>
    <col min="16" max="16" width="11.7109375" style="17" bestFit="1" customWidth="1"/>
    <col min="17" max="16384" width="10.85546875" style="17"/>
  </cols>
  <sheetData>
    <row r="1" spans="1:20" s="28" customFormat="1">
      <c r="A1" s="20" t="s">
        <v>12</v>
      </c>
      <c r="B1" s="21"/>
      <c r="C1" s="22">
        <f>Totals!F8</f>
        <v>79919897</v>
      </c>
      <c r="D1" s="22"/>
      <c r="E1" s="22"/>
      <c r="F1" s="71"/>
      <c r="G1" s="23"/>
      <c r="H1" s="26"/>
      <c r="I1" s="26"/>
      <c r="J1" s="23"/>
      <c r="K1" s="26"/>
      <c r="L1" s="279"/>
      <c r="M1" s="53"/>
      <c r="N1" s="27"/>
      <c r="O1" s="10"/>
      <c r="P1" s="10"/>
      <c r="Q1" s="10"/>
      <c r="R1" s="10"/>
      <c r="S1" s="10"/>
      <c r="T1" s="10"/>
    </row>
    <row r="2" spans="1:20" s="36" customFormat="1">
      <c r="A2" s="29" t="s">
        <v>1</v>
      </c>
      <c r="B2" s="10"/>
      <c r="C2" s="30"/>
      <c r="D2" s="30"/>
      <c r="E2" s="30"/>
      <c r="F2" s="72"/>
      <c r="G2" s="31"/>
      <c r="H2" s="34"/>
      <c r="I2" s="34"/>
      <c r="J2" s="31"/>
      <c r="K2" s="34"/>
      <c r="L2" s="280"/>
      <c r="M2" s="57"/>
      <c r="N2" s="35"/>
      <c r="O2" s="10"/>
      <c r="P2" s="10"/>
      <c r="Q2" s="10"/>
      <c r="R2" s="10"/>
      <c r="S2" s="10"/>
      <c r="T2" s="10"/>
    </row>
    <row r="3" spans="1:20">
      <c r="A3" s="37"/>
      <c r="B3" s="36"/>
      <c r="C3" s="10"/>
      <c r="D3" s="10"/>
      <c r="E3" s="10"/>
      <c r="F3" s="72"/>
      <c r="G3" s="31"/>
      <c r="H3" s="34"/>
      <c r="I3" s="34"/>
      <c r="J3" s="31"/>
      <c r="K3" s="34"/>
      <c r="L3" s="281"/>
      <c r="M3" s="55"/>
      <c r="N3" s="35"/>
      <c r="O3" s="10"/>
      <c r="P3" s="10"/>
      <c r="Q3" s="10"/>
      <c r="R3" s="10"/>
      <c r="S3" s="10"/>
      <c r="T3" s="10"/>
    </row>
    <row r="4" spans="1:20" s="5" customFormat="1">
      <c r="A4" s="37" t="s">
        <v>34</v>
      </c>
      <c r="B4" s="61" t="s">
        <v>39</v>
      </c>
      <c r="C4" s="10" t="s">
        <v>32</v>
      </c>
      <c r="D4" s="10" t="s">
        <v>51</v>
      </c>
      <c r="E4" s="10" t="s">
        <v>47</v>
      </c>
      <c r="F4" s="73" t="s">
        <v>24</v>
      </c>
      <c r="G4" s="38" t="s">
        <v>56</v>
      </c>
      <c r="H4" s="9" t="s">
        <v>14</v>
      </c>
      <c r="I4" s="9" t="s">
        <v>36</v>
      </c>
      <c r="J4" s="38" t="s">
        <v>4</v>
      </c>
      <c r="K4" s="9" t="s">
        <v>346</v>
      </c>
      <c r="L4" s="280" t="s">
        <v>28</v>
      </c>
      <c r="M4" s="57" t="s">
        <v>46</v>
      </c>
      <c r="N4" s="35" t="s">
        <v>23</v>
      </c>
      <c r="O4" s="10"/>
      <c r="P4" s="10"/>
      <c r="Q4" s="10"/>
      <c r="R4" s="10"/>
      <c r="S4" s="10"/>
      <c r="T4" s="10"/>
    </row>
    <row r="5" spans="1:20" s="10" customFormat="1">
      <c r="A5" s="37" t="s">
        <v>50</v>
      </c>
      <c r="B5" s="36"/>
      <c r="C5" s="30"/>
      <c r="D5" s="30"/>
      <c r="E5" s="30"/>
      <c r="F5" s="73" t="s">
        <v>44</v>
      </c>
      <c r="G5" s="38" t="s">
        <v>57</v>
      </c>
      <c r="H5" s="9" t="s">
        <v>9</v>
      </c>
      <c r="I5" s="9" t="s">
        <v>18</v>
      </c>
      <c r="J5" s="38" t="s">
        <v>44</v>
      </c>
      <c r="K5" s="9" t="s">
        <v>18</v>
      </c>
      <c r="L5" s="280" t="s">
        <v>44</v>
      </c>
      <c r="M5" s="57" t="s">
        <v>44</v>
      </c>
      <c r="N5" s="35" t="s">
        <v>5</v>
      </c>
    </row>
    <row r="6" spans="1:20" s="5" customFormat="1" ht="12.75" thickBot="1">
      <c r="A6" s="44" t="s">
        <v>33</v>
      </c>
      <c r="B6" s="39"/>
      <c r="C6" s="39"/>
      <c r="D6" s="39"/>
      <c r="E6" s="39"/>
      <c r="F6" s="75"/>
      <c r="G6" s="74"/>
      <c r="H6" s="47"/>
      <c r="I6" s="47"/>
      <c r="J6" s="74"/>
      <c r="K6" s="47"/>
      <c r="L6" s="282"/>
      <c r="M6" s="59"/>
      <c r="N6" s="48" t="s">
        <v>9</v>
      </c>
      <c r="O6" s="10"/>
      <c r="P6" s="10"/>
      <c r="Q6" s="10"/>
      <c r="R6" s="10"/>
      <c r="S6" s="10"/>
      <c r="T6" s="10"/>
    </row>
    <row r="7" spans="1:20">
      <c r="A7" s="36">
        <v>4561</v>
      </c>
      <c r="B7" s="129" t="s">
        <v>86</v>
      </c>
      <c r="C7" s="1" t="s">
        <v>184</v>
      </c>
      <c r="D7" s="52" t="s">
        <v>362</v>
      </c>
      <c r="E7" s="52" t="s">
        <v>234</v>
      </c>
      <c r="F7" s="89">
        <v>39120000</v>
      </c>
      <c r="G7" s="89">
        <v>39120000</v>
      </c>
      <c r="H7" s="15">
        <v>42381</v>
      </c>
      <c r="I7" s="340">
        <f t="shared" ref="I7:I16" si="0">H7+35</f>
        <v>42416</v>
      </c>
      <c r="J7" s="89">
        <v>39120000</v>
      </c>
      <c r="K7" s="340">
        <f t="shared" ref="K7:K16" si="1">H7+180</f>
        <v>42561</v>
      </c>
      <c r="L7" s="89">
        <v>0</v>
      </c>
      <c r="M7" s="89">
        <v>39120000</v>
      </c>
      <c r="N7" s="15">
        <v>42550</v>
      </c>
      <c r="O7" s="17" t="s">
        <v>357</v>
      </c>
      <c r="Q7" s="64"/>
    </row>
    <row r="8" spans="1:20">
      <c r="A8" s="36">
        <v>4564</v>
      </c>
      <c r="B8" s="129" t="s">
        <v>86</v>
      </c>
      <c r="C8" s="297" t="s">
        <v>184</v>
      </c>
      <c r="D8" s="297" t="s">
        <v>264</v>
      </c>
      <c r="E8" s="545" t="s">
        <v>211</v>
      </c>
      <c r="F8" s="445">
        <v>40000000</v>
      </c>
      <c r="G8" s="445">
        <v>40000000</v>
      </c>
      <c r="H8" s="15">
        <v>42390</v>
      </c>
      <c r="I8" s="340">
        <f t="shared" si="0"/>
        <v>42425</v>
      </c>
      <c r="J8" s="445">
        <v>40000000</v>
      </c>
      <c r="K8" s="340">
        <f t="shared" si="1"/>
        <v>42570</v>
      </c>
      <c r="L8" s="89">
        <v>0</v>
      </c>
      <c r="M8" s="89">
        <f>J8-L8</f>
        <v>40000000</v>
      </c>
      <c r="N8" s="15">
        <v>42532</v>
      </c>
      <c r="O8" s="17" t="s">
        <v>481</v>
      </c>
      <c r="P8" s="17" t="s">
        <v>357</v>
      </c>
      <c r="Q8" s="64"/>
    </row>
    <row r="9" spans="1:20">
      <c r="A9" s="36">
        <v>4597</v>
      </c>
      <c r="B9" s="129" t="s">
        <v>360</v>
      </c>
      <c r="C9" s="297" t="s">
        <v>184</v>
      </c>
      <c r="D9" s="297" t="s">
        <v>415</v>
      </c>
      <c r="E9" s="545" t="s">
        <v>416</v>
      </c>
      <c r="F9" s="445">
        <v>2129000</v>
      </c>
      <c r="G9" s="445">
        <v>2129000</v>
      </c>
      <c r="H9" s="15">
        <v>42452</v>
      </c>
      <c r="I9" s="340">
        <f t="shared" si="0"/>
        <v>42487</v>
      </c>
      <c r="J9" s="445">
        <v>2129000</v>
      </c>
      <c r="K9" s="340">
        <f t="shared" si="1"/>
        <v>42632</v>
      </c>
      <c r="L9" s="89"/>
      <c r="M9" s="89">
        <f>J9-L9</f>
        <v>2129000</v>
      </c>
      <c r="N9" s="15">
        <v>42591</v>
      </c>
      <c r="Q9" s="64"/>
    </row>
    <row r="10" spans="1:20">
      <c r="A10" s="36">
        <v>4598</v>
      </c>
      <c r="B10" s="129" t="s">
        <v>360</v>
      </c>
      <c r="C10" s="297" t="s">
        <v>184</v>
      </c>
      <c r="D10" s="52" t="s">
        <v>417</v>
      </c>
      <c r="E10" s="52" t="s">
        <v>418</v>
      </c>
      <c r="F10" s="315">
        <v>3371000</v>
      </c>
      <c r="G10" s="315">
        <v>3371000</v>
      </c>
      <c r="H10" s="15">
        <v>42452</v>
      </c>
      <c r="I10" s="340">
        <f t="shared" si="0"/>
        <v>42487</v>
      </c>
      <c r="J10" s="315">
        <v>3371000</v>
      </c>
      <c r="K10" s="340">
        <f t="shared" si="1"/>
        <v>42632</v>
      </c>
      <c r="L10" s="89"/>
      <c r="M10" s="89">
        <f>J10-L10</f>
        <v>3371000</v>
      </c>
      <c r="N10" s="15">
        <v>42591</v>
      </c>
      <c r="Q10" s="64"/>
    </row>
    <row r="11" spans="1:20">
      <c r="A11" s="36">
        <v>4615</v>
      </c>
      <c r="B11" s="129" t="s">
        <v>86</v>
      </c>
      <c r="C11" s="297" t="s">
        <v>184</v>
      </c>
      <c r="D11" s="52" t="s">
        <v>463</v>
      </c>
      <c r="E11" s="52" t="s">
        <v>103</v>
      </c>
      <c r="F11" s="315">
        <v>15000000</v>
      </c>
      <c r="G11" s="315">
        <v>15000000</v>
      </c>
      <c r="H11" s="15">
        <v>42516</v>
      </c>
      <c r="I11" s="340">
        <f t="shared" si="0"/>
        <v>42551</v>
      </c>
      <c r="J11" s="315">
        <v>15000000</v>
      </c>
      <c r="K11" s="340">
        <f t="shared" si="1"/>
        <v>42696</v>
      </c>
      <c r="L11" s="89">
        <v>9872000</v>
      </c>
      <c r="M11" s="89">
        <f>J11-L11</f>
        <v>5128000</v>
      </c>
      <c r="N11" s="15">
        <v>42657</v>
      </c>
      <c r="O11" s="17" t="s">
        <v>357</v>
      </c>
      <c r="Q11" s="64"/>
    </row>
    <row r="12" spans="1:20">
      <c r="A12" s="36">
        <v>4623</v>
      </c>
      <c r="B12" s="129" t="s">
        <v>360</v>
      </c>
      <c r="C12" s="297" t="s">
        <v>184</v>
      </c>
      <c r="D12" s="52" t="s">
        <v>471</v>
      </c>
      <c r="E12" s="52" t="s">
        <v>84</v>
      </c>
      <c r="F12" s="315">
        <v>15000000</v>
      </c>
      <c r="G12" s="315">
        <v>15000000</v>
      </c>
      <c r="H12" s="15">
        <v>42531</v>
      </c>
      <c r="I12" s="340">
        <f t="shared" si="0"/>
        <v>42566</v>
      </c>
      <c r="J12" s="315">
        <v>15000000</v>
      </c>
      <c r="K12" s="340">
        <f t="shared" si="1"/>
        <v>42711</v>
      </c>
      <c r="L12" s="89"/>
      <c r="M12" s="89">
        <f>J12-L12</f>
        <v>15000000</v>
      </c>
      <c r="N12" s="15">
        <v>42679</v>
      </c>
      <c r="Q12" s="64"/>
    </row>
    <row r="13" spans="1:20">
      <c r="A13" s="36">
        <v>4646</v>
      </c>
      <c r="B13" s="129" t="s">
        <v>80</v>
      </c>
      <c r="C13" s="297" t="s">
        <v>184</v>
      </c>
      <c r="D13" s="52" t="s">
        <v>544</v>
      </c>
      <c r="E13" s="52" t="s">
        <v>418</v>
      </c>
      <c r="F13" s="315">
        <v>3300000</v>
      </c>
      <c r="G13" s="315">
        <v>3300000</v>
      </c>
      <c r="H13" s="15">
        <v>42598</v>
      </c>
      <c r="I13" s="340">
        <f t="shared" si="0"/>
        <v>42633</v>
      </c>
      <c r="J13" s="315">
        <v>3300000</v>
      </c>
      <c r="K13" s="340">
        <f t="shared" si="1"/>
        <v>42778</v>
      </c>
      <c r="L13" s="89"/>
      <c r="M13" s="286"/>
      <c r="N13" s="148"/>
      <c r="Q13" s="64"/>
    </row>
    <row r="14" spans="1:20">
      <c r="A14" s="36">
        <v>4647</v>
      </c>
      <c r="B14" s="129" t="s">
        <v>80</v>
      </c>
      <c r="C14" s="297" t="s">
        <v>184</v>
      </c>
      <c r="D14" s="297" t="s">
        <v>545</v>
      </c>
      <c r="E14" s="545" t="s">
        <v>416</v>
      </c>
      <c r="F14" s="315">
        <v>2200000</v>
      </c>
      <c r="G14" s="315">
        <v>2200000</v>
      </c>
      <c r="H14" s="15">
        <v>42598</v>
      </c>
      <c r="I14" s="340">
        <f t="shared" si="0"/>
        <v>42633</v>
      </c>
      <c r="J14" s="315">
        <v>2200000</v>
      </c>
      <c r="K14" s="340">
        <f t="shared" si="1"/>
        <v>42778</v>
      </c>
      <c r="L14" s="89"/>
      <c r="M14" s="89"/>
      <c r="N14" s="15"/>
      <c r="Q14" s="64"/>
    </row>
    <row r="15" spans="1:20">
      <c r="A15" s="36">
        <v>4648</v>
      </c>
      <c r="B15" s="129" t="s">
        <v>80</v>
      </c>
      <c r="C15" s="297" t="s">
        <v>184</v>
      </c>
      <c r="D15" s="52" t="s">
        <v>541</v>
      </c>
      <c r="E15" s="52" t="s">
        <v>83</v>
      </c>
      <c r="F15" s="315">
        <v>16500000</v>
      </c>
      <c r="G15" s="315">
        <v>16500000</v>
      </c>
      <c r="H15" s="15">
        <v>42598</v>
      </c>
      <c r="I15" s="340">
        <f t="shared" si="0"/>
        <v>42633</v>
      </c>
      <c r="J15" s="315">
        <v>16500000</v>
      </c>
      <c r="K15" s="340">
        <f t="shared" si="1"/>
        <v>42778</v>
      </c>
      <c r="L15" s="89"/>
      <c r="M15" s="89"/>
      <c r="N15" s="15"/>
      <c r="Q15" s="64"/>
    </row>
    <row r="16" spans="1:20">
      <c r="A16" s="36">
        <v>4649</v>
      </c>
      <c r="B16" s="129" t="s">
        <v>80</v>
      </c>
      <c r="C16" s="297" t="s">
        <v>184</v>
      </c>
      <c r="D16" s="52" t="s">
        <v>542</v>
      </c>
      <c r="E16" s="52" t="s">
        <v>272</v>
      </c>
      <c r="F16" s="315">
        <v>16500000</v>
      </c>
      <c r="G16" s="315">
        <v>16500000</v>
      </c>
      <c r="H16" s="15">
        <v>42598</v>
      </c>
      <c r="I16" s="340">
        <f t="shared" si="0"/>
        <v>42633</v>
      </c>
      <c r="J16" s="315">
        <v>16500000</v>
      </c>
      <c r="K16" s="340">
        <f t="shared" si="1"/>
        <v>42778</v>
      </c>
      <c r="L16" s="89"/>
      <c r="M16" s="89"/>
      <c r="N16" s="15"/>
      <c r="Q16" s="64"/>
    </row>
    <row r="17" spans="1:20">
      <c r="A17" s="36" t="s">
        <v>546</v>
      </c>
      <c r="B17" s="129" t="s">
        <v>45</v>
      </c>
      <c r="C17" s="297" t="s">
        <v>184</v>
      </c>
      <c r="D17" s="52" t="s">
        <v>547</v>
      </c>
      <c r="E17" s="52" t="s">
        <v>511</v>
      </c>
      <c r="F17" s="315"/>
      <c r="G17" s="315"/>
      <c r="H17" s="15"/>
      <c r="I17" s="340"/>
      <c r="J17" s="315"/>
      <c r="K17" s="340"/>
      <c r="L17" s="89"/>
      <c r="M17" s="89"/>
      <c r="N17" s="15"/>
      <c r="Q17" s="64"/>
    </row>
    <row r="18" spans="1:20">
      <c r="A18" s="36"/>
      <c r="B18" s="61"/>
      <c r="C18" s="4"/>
      <c r="F18" s="551"/>
      <c r="H18" s="15"/>
      <c r="I18" s="363"/>
      <c r="K18" s="363"/>
      <c r="L18" s="285"/>
      <c r="M18" s="89"/>
      <c r="Q18" s="64"/>
    </row>
    <row r="19" spans="1:20" s="11" customFormat="1">
      <c r="A19" s="36"/>
      <c r="B19" s="36"/>
      <c r="C19" s="297"/>
      <c r="D19" s="36"/>
      <c r="E19" s="36"/>
      <c r="F19" s="94">
        <f>SUM(F7:F18)</f>
        <v>153120000</v>
      </c>
      <c r="G19" s="94">
        <f>SUM(G7:G18)</f>
        <v>153120000</v>
      </c>
      <c r="H19" s="15"/>
      <c r="I19" s="15"/>
      <c r="J19" s="94">
        <f>SUM(J7:J18)</f>
        <v>153120000</v>
      </c>
      <c r="K19" s="15"/>
      <c r="L19" s="96">
        <f>SUM(L7:L18)</f>
        <v>9872000</v>
      </c>
      <c r="M19" s="96">
        <f>SUM(M7:M18)</f>
        <v>104748000</v>
      </c>
      <c r="N19" s="7"/>
      <c r="R19" s="278"/>
    </row>
    <row r="20" spans="1:20" s="11" customFormat="1">
      <c r="A20" s="36"/>
      <c r="B20" s="36"/>
      <c r="C20" s="36"/>
      <c r="D20" s="36"/>
      <c r="E20" s="36"/>
      <c r="F20" s="92"/>
      <c r="G20" s="93"/>
      <c r="H20" s="15"/>
      <c r="I20" s="15"/>
      <c r="J20" s="69"/>
      <c r="K20" s="15"/>
      <c r="L20" s="281"/>
      <c r="M20" s="56"/>
      <c r="N20" s="7"/>
    </row>
    <row r="21" spans="1:20" s="11" customFormat="1">
      <c r="A21" s="17"/>
      <c r="B21" s="17"/>
      <c r="C21" s="5" t="s">
        <v>45</v>
      </c>
      <c r="D21" s="5"/>
      <c r="E21" s="5"/>
      <c r="F21" s="89">
        <f>SUM(F19-G19)</f>
        <v>0</v>
      </c>
      <c r="G21" s="97"/>
      <c r="H21" s="15"/>
      <c r="I21" s="15"/>
      <c r="J21" s="14"/>
      <c r="K21" s="15"/>
      <c r="L21" s="283"/>
      <c r="M21" s="42"/>
      <c r="N21" s="7"/>
    </row>
    <row r="22" spans="1:20">
      <c r="C22" s="5"/>
      <c r="D22" s="5"/>
      <c r="E22" s="5"/>
      <c r="F22" s="89"/>
      <c r="G22" s="97"/>
      <c r="H22" s="15"/>
      <c r="I22" s="15"/>
      <c r="J22" s="64"/>
      <c r="K22" s="15"/>
      <c r="N22" s="7"/>
      <c r="O22" s="1"/>
      <c r="P22" s="1"/>
      <c r="Q22" s="1"/>
      <c r="R22" s="1"/>
      <c r="S22" s="1"/>
      <c r="T22" s="1"/>
    </row>
    <row r="23" spans="1:20">
      <c r="A23" s="5"/>
      <c r="B23" s="5"/>
      <c r="D23" s="78" t="s">
        <v>10</v>
      </c>
      <c r="E23" s="5"/>
      <c r="F23" s="273">
        <f>C1-G19+M19+E26</f>
        <v>31547897</v>
      </c>
      <c r="G23" s="146" t="s">
        <v>570</v>
      </c>
      <c r="H23" s="7"/>
      <c r="I23" s="7"/>
      <c r="J23" s="70"/>
      <c r="K23" s="7"/>
      <c r="L23" s="284"/>
      <c r="M23" s="62"/>
      <c r="N23" s="7"/>
      <c r="O23" s="1"/>
      <c r="P23" s="1"/>
      <c r="Q23" s="1"/>
      <c r="R23" s="1"/>
      <c r="S23" s="1"/>
      <c r="T23" s="1"/>
    </row>
    <row r="24" spans="1:20" s="10" customFormat="1" ht="11.25" customHeight="1">
      <c r="A24" s="4"/>
      <c r="B24" s="99"/>
      <c r="C24" s="99"/>
      <c r="D24" s="4"/>
      <c r="E24" s="99"/>
      <c r="F24" s="106"/>
      <c r="G24" s="140"/>
      <c r="H24" s="7"/>
      <c r="I24" s="7"/>
      <c r="J24" s="83"/>
      <c r="K24" s="7"/>
      <c r="L24" s="281"/>
      <c r="M24" s="120"/>
      <c r="N24" s="9"/>
      <c r="O24" s="61"/>
      <c r="R24" s="36"/>
      <c r="T24" s="97"/>
    </row>
    <row r="25" spans="1:20">
      <c r="D25" s="271"/>
      <c r="E25" s="315"/>
    </row>
    <row r="26" spans="1:20">
      <c r="D26" s="271"/>
      <c r="E26" s="315"/>
      <c r="F26" s="72"/>
    </row>
    <row r="27" spans="1:20">
      <c r="C27" s="5"/>
      <c r="D27" s="5"/>
      <c r="E27" s="551"/>
      <c r="H27" s="630"/>
    </row>
    <row r="28" spans="1:20">
      <c r="H28" s="148"/>
      <c r="I28" s="148"/>
    </row>
    <row r="29" spans="1:20">
      <c r="I29" s="148"/>
    </row>
    <row r="30" spans="1:20">
      <c r="I30" s="148"/>
    </row>
    <row r="31" spans="1:20">
      <c r="D31" s="370"/>
      <c r="I31" s="148"/>
    </row>
    <row r="32" spans="1:20">
      <c r="D32" s="64"/>
      <c r="I32" s="318"/>
      <c r="J32" s="17"/>
    </row>
    <row r="34" spans="5:11">
      <c r="K34" s="17" t="s">
        <v>7</v>
      </c>
    </row>
    <row r="35" spans="5:11">
      <c r="E35" s="10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45"/>
  <sheetViews>
    <sheetView zoomScaleNormal="100" workbookViewId="0">
      <pane ySplit="6" topLeftCell="A7" activePane="bottomLeft" state="frozen"/>
      <selection activeCell="K30" sqref="I28:K30"/>
      <selection pane="bottomLeft" activeCell="A38" sqref="A38"/>
    </sheetView>
  </sheetViews>
  <sheetFormatPr defaultColWidth="10.85546875" defaultRowHeight="12"/>
  <cols>
    <col min="1" max="1" width="12.85546875" style="17" customWidth="1"/>
    <col min="2" max="2" width="12.140625" style="17" bestFit="1" customWidth="1"/>
    <col min="3" max="3" width="12.42578125" style="17" bestFit="1" customWidth="1"/>
    <col min="4" max="4" width="24.85546875" style="17" customWidth="1"/>
    <col min="5" max="5" width="13.140625" style="17" bestFit="1" customWidth="1"/>
    <col min="6" max="6" width="16.140625" style="89" bestFit="1" customWidth="1"/>
    <col min="7" max="7" width="15.85546875" style="89" bestFit="1" customWidth="1"/>
    <col min="8" max="8" width="13.85546875" style="227" bestFit="1" customWidth="1"/>
    <col min="9" max="9" width="10.85546875" style="17" bestFit="1" customWidth="1"/>
    <col min="10" max="10" width="12.5703125" style="82" bestFit="1" customWidth="1"/>
    <col min="11" max="11" width="10.5703125" style="17" bestFit="1" customWidth="1"/>
    <col min="12" max="12" width="14.7109375" style="16" bestFit="1" customWidth="1"/>
    <col min="13" max="13" width="12.140625" style="49" bestFit="1" customWidth="1"/>
    <col min="14" max="14" width="9.42578125" style="17" bestFit="1" customWidth="1"/>
    <col min="15" max="15" width="15.140625" style="17" bestFit="1" customWidth="1"/>
    <col min="16" max="16384" width="10.85546875" style="17"/>
  </cols>
  <sheetData>
    <row r="1" spans="1:20" s="28" customFormat="1">
      <c r="A1" s="20" t="s">
        <v>12</v>
      </c>
      <c r="B1" s="21"/>
      <c r="C1" s="22">
        <f>Totals!G8</f>
        <v>159839794</v>
      </c>
      <c r="D1" s="22"/>
      <c r="E1" s="30"/>
      <c r="F1" s="242"/>
      <c r="G1" s="235"/>
      <c r="I1" s="26"/>
      <c r="J1" s="80"/>
      <c r="K1" s="26"/>
      <c r="L1" s="53"/>
      <c r="M1" s="79"/>
      <c r="N1" s="27"/>
      <c r="O1" s="10"/>
      <c r="P1" s="10"/>
      <c r="Q1" s="10"/>
      <c r="R1" s="10"/>
      <c r="S1" s="10"/>
      <c r="T1" s="10"/>
    </row>
    <row r="2" spans="1:20" s="36" customFormat="1">
      <c r="A2" s="29" t="s">
        <v>1</v>
      </c>
      <c r="B2" s="10"/>
      <c r="C2" s="30"/>
      <c r="D2" s="30"/>
      <c r="E2" s="30"/>
      <c r="F2" s="92"/>
      <c r="G2" s="92"/>
      <c r="H2" s="220"/>
      <c r="J2" s="81"/>
      <c r="K2" s="34"/>
      <c r="L2" s="57" t="s">
        <v>55</v>
      </c>
      <c r="M2" s="221"/>
      <c r="N2" s="35"/>
      <c r="O2" s="10"/>
      <c r="P2" s="10"/>
      <c r="Q2" s="10"/>
      <c r="R2" s="10"/>
      <c r="S2" s="10"/>
      <c r="T2" s="10"/>
    </row>
    <row r="3" spans="1:20">
      <c r="A3" s="37"/>
      <c r="B3" s="36"/>
      <c r="C3" s="10"/>
      <c r="D3" s="10"/>
      <c r="E3" s="10"/>
      <c r="F3" s="92"/>
      <c r="G3" s="92"/>
      <c r="H3" s="220"/>
      <c r="I3" s="34"/>
      <c r="J3" s="81"/>
      <c r="K3" s="34"/>
      <c r="L3" s="55"/>
      <c r="M3" s="50"/>
      <c r="N3" s="35"/>
      <c r="O3" s="10"/>
      <c r="P3" s="10"/>
      <c r="Q3" s="10"/>
      <c r="R3" s="10"/>
      <c r="S3" s="10"/>
      <c r="T3" s="10"/>
    </row>
    <row r="4" spans="1:20" s="5" customFormat="1">
      <c r="A4" s="37" t="s">
        <v>34</v>
      </c>
      <c r="B4" s="10" t="s">
        <v>39</v>
      </c>
      <c r="C4" s="10" t="s">
        <v>32</v>
      </c>
      <c r="D4" s="30" t="s">
        <v>51</v>
      </c>
      <c r="E4" s="10" t="s">
        <v>47</v>
      </c>
      <c r="F4" s="120" t="s">
        <v>24</v>
      </c>
      <c r="G4" s="120" t="s">
        <v>8</v>
      </c>
      <c r="H4" s="222" t="s">
        <v>14</v>
      </c>
      <c r="I4" s="9" t="s">
        <v>36</v>
      </c>
      <c r="J4" s="38" t="s">
        <v>4</v>
      </c>
      <c r="K4" s="9" t="s">
        <v>346</v>
      </c>
      <c r="L4" s="57" t="s">
        <v>28</v>
      </c>
      <c r="M4" s="73" t="s">
        <v>46</v>
      </c>
      <c r="N4" s="35" t="s">
        <v>23</v>
      </c>
      <c r="O4" s="10"/>
      <c r="P4" s="10"/>
      <c r="Q4" s="10"/>
      <c r="R4" s="10"/>
      <c r="S4" s="10"/>
      <c r="T4" s="10"/>
    </row>
    <row r="5" spans="1:20" s="10" customFormat="1">
      <c r="A5" s="37" t="s">
        <v>50</v>
      </c>
      <c r="B5" s="36"/>
      <c r="D5" s="30"/>
      <c r="E5" s="30"/>
      <c r="F5" s="120" t="s">
        <v>44</v>
      </c>
      <c r="G5" s="120" t="s">
        <v>44</v>
      </c>
      <c r="H5" s="222" t="s">
        <v>9</v>
      </c>
      <c r="I5" s="9" t="s">
        <v>18</v>
      </c>
      <c r="J5" s="38" t="s">
        <v>44</v>
      </c>
      <c r="K5" s="9" t="s">
        <v>18</v>
      </c>
      <c r="L5" s="57" t="s">
        <v>44</v>
      </c>
      <c r="M5" s="73" t="s">
        <v>44</v>
      </c>
      <c r="N5" s="35" t="s">
        <v>5</v>
      </c>
    </row>
    <row r="6" spans="1:20" s="5" customFormat="1" ht="12.75" thickBot="1">
      <c r="A6" s="44" t="s">
        <v>33</v>
      </c>
      <c r="B6" s="39"/>
      <c r="C6" s="39"/>
      <c r="D6" s="39"/>
      <c r="E6" s="39"/>
      <c r="F6" s="234"/>
      <c r="G6" s="234"/>
      <c r="H6" s="223"/>
      <c r="I6" s="47"/>
      <c r="J6" s="224"/>
      <c r="K6" s="47"/>
      <c r="L6" s="59"/>
      <c r="M6" s="225"/>
      <c r="N6" s="48" t="s">
        <v>9</v>
      </c>
      <c r="O6" s="10"/>
      <c r="P6" s="10"/>
      <c r="Q6" s="10"/>
      <c r="R6" s="10"/>
      <c r="S6" s="10"/>
      <c r="T6" s="10"/>
    </row>
    <row r="7" spans="1:20">
      <c r="A7" s="36">
        <v>4565</v>
      </c>
      <c r="B7" s="129" t="s">
        <v>360</v>
      </c>
      <c r="C7" s="36" t="s">
        <v>79</v>
      </c>
      <c r="D7" s="129" t="s">
        <v>369</v>
      </c>
      <c r="E7" s="36" t="s">
        <v>238</v>
      </c>
      <c r="F7" s="92">
        <v>10000000</v>
      </c>
      <c r="G7" s="92">
        <v>10000000</v>
      </c>
      <c r="H7" s="34">
        <v>42390</v>
      </c>
      <c r="I7" s="34">
        <f t="shared" ref="I7:I18" si="0">H7+35</f>
        <v>42425</v>
      </c>
      <c r="J7" s="92">
        <v>10000000</v>
      </c>
      <c r="K7" s="34">
        <f t="shared" ref="K7:K18" si="1">H7+180</f>
        <v>42570</v>
      </c>
      <c r="L7" s="92">
        <v>0</v>
      </c>
      <c r="M7" s="92">
        <f t="shared" ref="M7:M14" si="2">J7-L7</f>
        <v>10000000</v>
      </c>
      <c r="N7" s="34">
        <v>42507</v>
      </c>
      <c r="O7" s="36"/>
      <c r="P7" s="36"/>
      <c r="Q7" s="36"/>
      <c r="R7" s="36"/>
      <c r="S7" s="36"/>
      <c r="T7" s="36"/>
    </row>
    <row r="8" spans="1:20">
      <c r="A8" s="36">
        <v>4578</v>
      </c>
      <c r="B8" s="129" t="s">
        <v>360</v>
      </c>
      <c r="C8" s="36" t="s">
        <v>79</v>
      </c>
      <c r="D8" s="129" t="s">
        <v>394</v>
      </c>
      <c r="E8" s="36" t="s">
        <v>85</v>
      </c>
      <c r="F8" s="92">
        <v>12000000</v>
      </c>
      <c r="G8" s="92">
        <v>12000000</v>
      </c>
      <c r="H8" s="34">
        <v>42419</v>
      </c>
      <c r="I8" s="34">
        <f t="shared" si="0"/>
        <v>42454</v>
      </c>
      <c r="J8" s="92">
        <v>12000000</v>
      </c>
      <c r="K8" s="34">
        <f t="shared" si="1"/>
        <v>42599</v>
      </c>
      <c r="L8" s="92">
        <v>0</v>
      </c>
      <c r="M8" s="92">
        <f t="shared" si="2"/>
        <v>12000000</v>
      </c>
      <c r="N8" s="34">
        <v>42462</v>
      </c>
      <c r="O8" s="36"/>
      <c r="P8" s="36"/>
      <c r="Q8" s="36"/>
      <c r="R8" s="36"/>
      <c r="S8" s="36"/>
      <c r="T8" s="36"/>
    </row>
    <row r="9" spans="1:20">
      <c r="A9" s="36">
        <v>4581</v>
      </c>
      <c r="B9" s="1" t="s">
        <v>86</v>
      </c>
      <c r="C9" s="36" t="s">
        <v>79</v>
      </c>
      <c r="D9" s="129" t="s">
        <v>252</v>
      </c>
      <c r="E9" s="36" t="s">
        <v>151</v>
      </c>
      <c r="F9" s="92">
        <v>41000000</v>
      </c>
      <c r="G9" s="92">
        <v>41000000</v>
      </c>
      <c r="H9" s="34">
        <v>42424</v>
      </c>
      <c r="I9" s="34">
        <f t="shared" si="0"/>
        <v>42459</v>
      </c>
      <c r="J9" s="92">
        <v>41000000</v>
      </c>
      <c r="K9" s="34">
        <f t="shared" si="1"/>
        <v>42604</v>
      </c>
      <c r="L9" s="92">
        <v>0</v>
      </c>
      <c r="M9" s="92">
        <f t="shared" si="2"/>
        <v>41000000</v>
      </c>
      <c r="N9" s="34">
        <v>42538</v>
      </c>
      <c r="O9" s="36" t="s">
        <v>357</v>
      </c>
      <c r="P9" s="36"/>
      <c r="Q9" s="36"/>
      <c r="R9" s="36"/>
      <c r="S9" s="36"/>
      <c r="T9" s="36"/>
    </row>
    <row r="10" spans="1:20">
      <c r="A10" s="36">
        <v>4594</v>
      </c>
      <c r="B10" s="1" t="s">
        <v>86</v>
      </c>
      <c r="C10" s="36" t="s">
        <v>79</v>
      </c>
      <c r="D10" s="129" t="s">
        <v>412</v>
      </c>
      <c r="E10" s="36" t="s">
        <v>85</v>
      </c>
      <c r="F10" s="92">
        <v>20000000</v>
      </c>
      <c r="G10" s="92">
        <v>20000000</v>
      </c>
      <c r="H10" s="34">
        <v>42440</v>
      </c>
      <c r="I10" s="34">
        <f t="shared" si="0"/>
        <v>42475</v>
      </c>
      <c r="J10" s="92">
        <v>20000000</v>
      </c>
      <c r="K10" s="34">
        <f t="shared" si="1"/>
        <v>42620</v>
      </c>
      <c r="L10" s="92">
        <v>20000000</v>
      </c>
      <c r="M10" s="92">
        <f t="shared" si="2"/>
        <v>0</v>
      </c>
      <c r="N10" s="34">
        <v>42560</v>
      </c>
      <c r="O10" s="36"/>
      <c r="P10" s="36"/>
      <c r="Q10" s="36"/>
      <c r="R10" s="36"/>
      <c r="S10" s="36"/>
      <c r="T10" s="36"/>
    </row>
    <row r="11" spans="1:20">
      <c r="A11" s="36">
        <v>4595</v>
      </c>
      <c r="B11" s="1" t="s">
        <v>86</v>
      </c>
      <c r="C11" s="36" t="s">
        <v>79</v>
      </c>
      <c r="D11" s="129" t="s">
        <v>413</v>
      </c>
      <c r="E11" s="36" t="s">
        <v>84</v>
      </c>
      <c r="F11" s="92">
        <v>29000000</v>
      </c>
      <c r="G11" s="92">
        <v>29000000</v>
      </c>
      <c r="H11" s="34">
        <v>42445</v>
      </c>
      <c r="I11" s="34">
        <f t="shared" si="0"/>
        <v>42480</v>
      </c>
      <c r="J11" s="92">
        <v>29000000</v>
      </c>
      <c r="K11" s="34">
        <f t="shared" si="1"/>
        <v>42625</v>
      </c>
      <c r="L11" s="92">
        <v>28000000</v>
      </c>
      <c r="M11" s="81">
        <f t="shared" si="2"/>
        <v>1000000</v>
      </c>
      <c r="N11" s="34">
        <v>42620</v>
      </c>
      <c r="O11" s="36"/>
      <c r="P11" s="36"/>
      <c r="Q11" s="36"/>
      <c r="R11" s="36"/>
      <c r="S11" s="36"/>
      <c r="T11" s="36"/>
    </row>
    <row r="12" spans="1:20">
      <c r="A12" s="36">
        <v>4599</v>
      </c>
      <c r="B12" s="1" t="s">
        <v>86</v>
      </c>
      <c r="C12" s="36" t="s">
        <v>79</v>
      </c>
      <c r="D12" s="129" t="s">
        <v>426</v>
      </c>
      <c r="E12" s="36" t="s">
        <v>427</v>
      </c>
      <c r="F12" s="92">
        <v>26000000</v>
      </c>
      <c r="G12" s="92">
        <v>26000000</v>
      </c>
      <c r="H12" s="34">
        <v>42462</v>
      </c>
      <c r="I12" s="34">
        <f t="shared" si="0"/>
        <v>42497</v>
      </c>
      <c r="J12" s="92">
        <v>26000000</v>
      </c>
      <c r="K12" s="34">
        <f t="shared" si="1"/>
        <v>42642</v>
      </c>
      <c r="L12" s="92">
        <v>26000000</v>
      </c>
      <c r="M12" s="92">
        <f t="shared" si="2"/>
        <v>0</v>
      </c>
      <c r="N12" s="34">
        <v>42608</v>
      </c>
      <c r="O12" s="36"/>
      <c r="P12" s="36"/>
      <c r="Q12" s="36"/>
      <c r="R12" s="36"/>
      <c r="S12" s="36"/>
      <c r="T12" s="36"/>
    </row>
    <row r="13" spans="1:20">
      <c r="A13" s="36">
        <v>4603</v>
      </c>
      <c r="B13" s="1" t="s">
        <v>86</v>
      </c>
      <c r="C13" s="36" t="s">
        <v>79</v>
      </c>
      <c r="D13" s="129" t="s">
        <v>394</v>
      </c>
      <c r="E13" s="36" t="s">
        <v>85</v>
      </c>
      <c r="F13" s="92">
        <v>10000000</v>
      </c>
      <c r="G13" s="92">
        <v>10000000</v>
      </c>
      <c r="H13" s="34">
        <v>42467</v>
      </c>
      <c r="I13" s="34">
        <f t="shared" si="0"/>
        <v>42502</v>
      </c>
      <c r="J13" s="92">
        <v>10000000</v>
      </c>
      <c r="K13" s="34">
        <f t="shared" si="1"/>
        <v>42647</v>
      </c>
      <c r="L13" s="92">
        <v>0</v>
      </c>
      <c r="M13" s="92">
        <f t="shared" si="2"/>
        <v>10000000</v>
      </c>
      <c r="N13" s="34">
        <v>42510</v>
      </c>
      <c r="O13" s="36" t="s">
        <v>357</v>
      </c>
      <c r="P13" s="36"/>
      <c r="Q13" s="36"/>
      <c r="R13" s="36"/>
      <c r="S13" s="36"/>
      <c r="T13" s="36"/>
    </row>
    <row r="14" spans="1:20">
      <c r="A14" s="36">
        <v>4604</v>
      </c>
      <c r="B14" s="1" t="s">
        <v>86</v>
      </c>
      <c r="C14" s="36" t="s">
        <v>79</v>
      </c>
      <c r="D14" s="129" t="s">
        <v>430</v>
      </c>
      <c r="E14" s="36" t="s">
        <v>429</v>
      </c>
      <c r="F14" s="92">
        <v>16000000</v>
      </c>
      <c r="G14" s="92">
        <v>16000000</v>
      </c>
      <c r="H14" s="34">
        <v>42474</v>
      </c>
      <c r="I14" s="34">
        <f t="shared" si="0"/>
        <v>42509</v>
      </c>
      <c r="J14" s="92">
        <v>16000000</v>
      </c>
      <c r="K14" s="34">
        <f t="shared" si="1"/>
        <v>42654</v>
      </c>
      <c r="L14" s="92">
        <v>16000000</v>
      </c>
      <c r="M14" s="92">
        <f t="shared" si="2"/>
        <v>0</v>
      </c>
      <c r="N14" s="34">
        <v>42649</v>
      </c>
      <c r="O14" s="36"/>
      <c r="P14" s="36"/>
      <c r="Q14" s="36"/>
      <c r="R14" s="36"/>
      <c r="S14" s="36"/>
      <c r="T14" s="36"/>
    </row>
    <row r="15" spans="1:20">
      <c r="A15" s="36">
        <v>4608</v>
      </c>
      <c r="B15" s="1" t="s">
        <v>86</v>
      </c>
      <c r="C15" s="36" t="s">
        <v>79</v>
      </c>
      <c r="D15" s="129" t="s">
        <v>443</v>
      </c>
      <c r="E15" s="36" t="s">
        <v>84</v>
      </c>
      <c r="F15" s="92">
        <v>18000000</v>
      </c>
      <c r="G15" s="92">
        <v>18000000</v>
      </c>
      <c r="H15" s="34">
        <v>42496</v>
      </c>
      <c r="I15" s="34">
        <f t="shared" si="0"/>
        <v>42531</v>
      </c>
      <c r="J15" s="92">
        <v>18000000</v>
      </c>
      <c r="K15" s="34">
        <f t="shared" si="1"/>
        <v>42676</v>
      </c>
      <c r="L15" s="92">
        <v>18000000</v>
      </c>
      <c r="M15" s="92">
        <f>J15-L15</f>
        <v>0</v>
      </c>
      <c r="N15" s="34">
        <v>42560</v>
      </c>
      <c r="O15" s="36"/>
      <c r="P15" s="36"/>
      <c r="Q15" s="36"/>
      <c r="R15" s="36"/>
      <c r="S15" s="36"/>
      <c r="T15" s="36"/>
    </row>
    <row r="16" spans="1:20">
      <c r="A16" s="36">
        <v>4609</v>
      </c>
      <c r="B16" s="1" t="s">
        <v>86</v>
      </c>
      <c r="C16" s="36" t="s">
        <v>79</v>
      </c>
      <c r="D16" s="129" t="s">
        <v>379</v>
      </c>
      <c r="E16" s="129" t="s">
        <v>272</v>
      </c>
      <c r="F16" s="92">
        <v>36800000</v>
      </c>
      <c r="G16" s="92">
        <v>36800000</v>
      </c>
      <c r="H16" s="34">
        <v>42496</v>
      </c>
      <c r="I16" s="34">
        <f t="shared" si="0"/>
        <v>42531</v>
      </c>
      <c r="J16" s="92">
        <v>36800000</v>
      </c>
      <c r="K16" s="34">
        <f t="shared" si="1"/>
        <v>42676</v>
      </c>
      <c r="L16" s="92">
        <v>18800000</v>
      </c>
      <c r="M16" s="92">
        <f>J16-L16</f>
        <v>18000000</v>
      </c>
      <c r="N16" s="34">
        <v>42545</v>
      </c>
      <c r="O16" s="36" t="s">
        <v>357</v>
      </c>
      <c r="P16" s="36"/>
      <c r="Q16" s="36"/>
      <c r="R16" s="36"/>
      <c r="S16" s="36"/>
      <c r="T16" s="36"/>
    </row>
    <row r="17" spans="1:20">
      <c r="A17" s="36">
        <v>4610</v>
      </c>
      <c r="B17" s="1" t="s">
        <v>86</v>
      </c>
      <c r="C17" s="36" t="s">
        <v>79</v>
      </c>
      <c r="D17" s="129" t="s">
        <v>442</v>
      </c>
      <c r="E17" s="129" t="s">
        <v>272</v>
      </c>
      <c r="F17" s="92">
        <v>22000000</v>
      </c>
      <c r="G17" s="92">
        <v>22000000</v>
      </c>
      <c r="H17" s="34">
        <v>42497</v>
      </c>
      <c r="I17" s="34">
        <f t="shared" si="0"/>
        <v>42532</v>
      </c>
      <c r="J17" s="92">
        <v>22000000</v>
      </c>
      <c r="K17" s="34">
        <f t="shared" si="1"/>
        <v>42677</v>
      </c>
      <c r="L17" s="92">
        <v>22000000</v>
      </c>
      <c r="M17" s="92">
        <f>J17-L17</f>
        <v>0</v>
      </c>
      <c r="N17" s="34">
        <v>42545</v>
      </c>
      <c r="O17" s="36"/>
      <c r="P17" s="36"/>
      <c r="Q17" s="36"/>
      <c r="R17" s="36"/>
      <c r="S17" s="36"/>
      <c r="T17" s="36"/>
    </row>
    <row r="18" spans="1:20">
      <c r="A18" s="36">
        <v>4612</v>
      </c>
      <c r="B18" s="1" t="s">
        <v>86</v>
      </c>
      <c r="C18" s="36" t="s">
        <v>79</v>
      </c>
      <c r="D18" s="129" t="s">
        <v>369</v>
      </c>
      <c r="E18" s="36" t="s">
        <v>238</v>
      </c>
      <c r="F18" s="92">
        <v>10000000</v>
      </c>
      <c r="G18" s="92">
        <v>10000000</v>
      </c>
      <c r="H18" s="34">
        <v>42509</v>
      </c>
      <c r="I18" s="34">
        <f t="shared" si="0"/>
        <v>42544</v>
      </c>
      <c r="J18" s="92">
        <v>10000000</v>
      </c>
      <c r="K18" s="34">
        <f t="shared" si="1"/>
        <v>42689</v>
      </c>
      <c r="L18" s="92">
        <v>10000000</v>
      </c>
      <c r="M18" s="81">
        <f>J18-L18</f>
        <v>0</v>
      </c>
      <c r="N18" s="34">
        <v>42678</v>
      </c>
      <c r="O18" s="36"/>
      <c r="P18" s="36"/>
      <c r="Q18" s="36"/>
      <c r="R18" s="36"/>
      <c r="S18" s="36"/>
      <c r="T18" s="36"/>
    </row>
    <row r="19" spans="1:20">
      <c r="A19" s="36" t="s">
        <v>464</v>
      </c>
      <c r="B19" s="1" t="s">
        <v>45</v>
      </c>
      <c r="C19" s="36" t="s">
        <v>79</v>
      </c>
      <c r="D19" s="129" t="s">
        <v>465</v>
      </c>
      <c r="E19" s="36" t="s">
        <v>103</v>
      </c>
      <c r="F19" s="92"/>
      <c r="G19" s="92"/>
      <c r="H19" s="34"/>
      <c r="I19" s="34"/>
      <c r="J19" s="92"/>
      <c r="K19" s="34"/>
      <c r="L19" s="92"/>
      <c r="M19" s="81"/>
      <c r="N19" s="34"/>
      <c r="O19" s="36"/>
      <c r="P19" s="36"/>
      <c r="Q19" s="36"/>
      <c r="R19" s="36"/>
      <c r="S19" s="36"/>
      <c r="T19" s="36"/>
    </row>
    <row r="20" spans="1:20">
      <c r="A20" s="36" t="s">
        <v>468</v>
      </c>
      <c r="B20" s="1" t="s">
        <v>45</v>
      </c>
      <c r="C20" s="36" t="s">
        <v>79</v>
      </c>
      <c r="D20" s="129" t="s">
        <v>469</v>
      </c>
      <c r="E20" s="36" t="s">
        <v>82</v>
      </c>
      <c r="F20" s="92"/>
      <c r="G20" s="92"/>
      <c r="H20" s="34"/>
      <c r="I20" s="34"/>
      <c r="J20" s="92"/>
      <c r="K20" s="34"/>
      <c r="L20" s="92"/>
      <c r="M20" s="81"/>
      <c r="N20" s="34"/>
      <c r="O20" s="36"/>
      <c r="P20" s="36"/>
      <c r="Q20" s="36"/>
      <c r="R20" s="36"/>
      <c r="S20" s="36"/>
      <c r="T20" s="36"/>
    </row>
    <row r="21" spans="1:20">
      <c r="A21" s="36" t="s">
        <v>490</v>
      </c>
      <c r="B21" s="1" t="s">
        <v>45</v>
      </c>
      <c r="C21" s="36" t="s">
        <v>79</v>
      </c>
      <c r="D21" s="129" t="s">
        <v>491</v>
      </c>
      <c r="E21" s="36" t="s">
        <v>82</v>
      </c>
      <c r="F21" s="92"/>
      <c r="G21" s="92"/>
      <c r="H21" s="34"/>
      <c r="I21" s="34"/>
      <c r="J21" s="92"/>
      <c r="K21" s="34"/>
      <c r="L21" s="92"/>
      <c r="M21" s="81"/>
      <c r="N21" s="34"/>
      <c r="O21" s="36"/>
      <c r="P21" s="36"/>
      <c r="Q21" s="36"/>
      <c r="R21" s="36"/>
      <c r="S21" s="36"/>
      <c r="T21" s="36"/>
    </row>
    <row r="22" spans="1:20">
      <c r="A22" s="36" t="s">
        <v>492</v>
      </c>
      <c r="B22" s="1" t="s">
        <v>45</v>
      </c>
      <c r="C22" s="36" t="s">
        <v>79</v>
      </c>
      <c r="D22" s="129" t="s">
        <v>493</v>
      </c>
      <c r="E22" s="36" t="s">
        <v>85</v>
      </c>
      <c r="F22" s="92"/>
      <c r="G22" s="92"/>
      <c r="H22" s="34"/>
      <c r="I22" s="34"/>
      <c r="J22" s="92"/>
      <c r="K22" s="34"/>
      <c r="L22" s="92"/>
      <c r="M22" s="81"/>
      <c r="N22" s="34"/>
      <c r="O22" s="36"/>
      <c r="P22" s="36"/>
      <c r="Q22" s="36"/>
      <c r="R22" s="36"/>
      <c r="S22" s="36"/>
      <c r="T22" s="36"/>
    </row>
    <row r="23" spans="1:20">
      <c r="A23" s="36" t="s">
        <v>503</v>
      </c>
      <c r="B23" s="1" t="s">
        <v>45</v>
      </c>
      <c r="C23" s="36" t="s">
        <v>79</v>
      </c>
      <c r="D23" s="129" t="s">
        <v>504</v>
      </c>
      <c r="E23" s="36" t="s">
        <v>238</v>
      </c>
      <c r="F23" s="92"/>
      <c r="G23" s="92"/>
      <c r="H23" s="34"/>
      <c r="I23" s="34"/>
      <c r="J23" s="92"/>
      <c r="K23" s="34"/>
      <c r="L23" s="92"/>
      <c r="M23" s="81"/>
      <c r="N23" s="34"/>
      <c r="O23" s="36"/>
      <c r="P23" s="36"/>
      <c r="Q23" s="36"/>
      <c r="R23" s="36"/>
      <c r="S23" s="36"/>
      <c r="T23" s="36"/>
    </row>
    <row r="24" spans="1:20">
      <c r="A24" s="36" t="s">
        <v>523</v>
      </c>
      <c r="B24" s="1" t="s">
        <v>45</v>
      </c>
      <c r="C24" s="36" t="s">
        <v>79</v>
      </c>
      <c r="D24" s="129" t="s">
        <v>526</v>
      </c>
      <c r="E24" s="36" t="s">
        <v>180</v>
      </c>
      <c r="F24" s="92"/>
      <c r="G24" s="92"/>
      <c r="H24" s="34"/>
      <c r="I24" s="34"/>
      <c r="J24" s="92"/>
      <c r="K24" s="34"/>
      <c r="L24" s="92"/>
      <c r="M24" s="81"/>
      <c r="N24" s="34"/>
      <c r="O24" s="36"/>
      <c r="P24" s="36"/>
      <c r="Q24" s="36"/>
      <c r="R24" s="36"/>
      <c r="S24" s="36"/>
      <c r="T24" s="36"/>
    </row>
    <row r="25" spans="1:20">
      <c r="A25" s="36" t="s">
        <v>524</v>
      </c>
      <c r="B25" s="1" t="s">
        <v>45</v>
      </c>
      <c r="C25" s="36" t="s">
        <v>79</v>
      </c>
      <c r="D25" s="129" t="s">
        <v>527</v>
      </c>
      <c r="E25" s="36" t="s">
        <v>82</v>
      </c>
      <c r="F25" s="92"/>
      <c r="G25" s="92"/>
      <c r="H25" s="34"/>
      <c r="I25" s="34"/>
      <c r="J25" s="92"/>
      <c r="K25" s="34"/>
      <c r="L25" s="92"/>
      <c r="M25" s="81"/>
      <c r="N25" s="34"/>
      <c r="O25" s="36"/>
      <c r="P25" s="36"/>
      <c r="Q25" s="36"/>
      <c r="R25" s="36"/>
      <c r="S25" s="36"/>
      <c r="T25" s="36"/>
    </row>
    <row r="26" spans="1:20">
      <c r="A26" s="36" t="s">
        <v>525</v>
      </c>
      <c r="B26" s="1" t="s">
        <v>45</v>
      </c>
      <c r="C26" s="36" t="s">
        <v>79</v>
      </c>
      <c r="D26" s="129" t="s">
        <v>566</v>
      </c>
      <c r="E26" s="36" t="s">
        <v>83</v>
      </c>
      <c r="F26" s="92"/>
      <c r="G26" s="92"/>
      <c r="H26" s="34"/>
      <c r="I26" s="34"/>
      <c r="J26" s="92"/>
      <c r="K26" s="34"/>
      <c r="L26" s="92"/>
      <c r="M26" s="81"/>
      <c r="N26" s="34"/>
      <c r="O26" s="36"/>
      <c r="P26" s="36"/>
      <c r="Q26" s="36"/>
      <c r="R26" s="36"/>
      <c r="S26" s="36"/>
      <c r="T26" s="36"/>
    </row>
    <row r="27" spans="1:20">
      <c r="A27" s="36"/>
      <c r="B27" s="1"/>
      <c r="C27" s="36"/>
      <c r="D27" s="129"/>
      <c r="E27" s="36"/>
      <c r="F27" s="92"/>
      <c r="G27" s="92"/>
      <c r="H27" s="34"/>
      <c r="I27" s="34"/>
      <c r="J27" s="92"/>
      <c r="K27" s="34"/>
      <c r="L27" s="92"/>
      <c r="M27" s="81"/>
      <c r="N27" s="34"/>
      <c r="O27" s="36"/>
      <c r="P27" s="36"/>
      <c r="Q27" s="36"/>
      <c r="R27" s="36"/>
      <c r="S27" s="36"/>
      <c r="T27" s="36"/>
    </row>
    <row r="28" spans="1:20" s="40" customFormat="1">
      <c r="A28" s="36"/>
      <c r="B28" s="4"/>
      <c r="C28" s="10"/>
      <c r="D28" s="52"/>
      <c r="E28" s="1"/>
      <c r="F28" s="13"/>
      <c r="G28" s="13"/>
      <c r="H28" s="34"/>
      <c r="I28" s="147"/>
      <c r="J28" s="13"/>
      <c r="K28" s="147"/>
      <c r="L28" s="81"/>
      <c r="M28" s="81"/>
      <c r="N28" s="15"/>
    </row>
    <row r="29" spans="1:20" s="11" customFormat="1">
      <c r="A29" s="36"/>
      <c r="B29" s="212"/>
      <c r="C29" s="226" t="s">
        <v>19</v>
      </c>
      <c r="D29" s="61"/>
      <c r="E29" s="10"/>
      <c r="F29" s="121">
        <f>SUM(F7:F28)</f>
        <v>250800000</v>
      </c>
      <c r="G29" s="121">
        <f>SUM(G7:G28)</f>
        <v>250800000</v>
      </c>
      <c r="H29" s="220"/>
      <c r="I29" s="34"/>
      <c r="J29" s="121">
        <f>SUM(J7:J28)</f>
        <v>250800000</v>
      </c>
      <c r="K29" s="34"/>
      <c r="L29" s="121">
        <f>SUM(L7:L28)</f>
        <v>158800000</v>
      </c>
      <c r="M29" s="121">
        <f>SUM(M7:M28)</f>
        <v>92000000</v>
      </c>
      <c r="N29" s="9"/>
    </row>
    <row r="30" spans="1:20">
      <c r="B30" s="217"/>
      <c r="C30" s="5"/>
      <c r="D30" s="5"/>
      <c r="E30" s="5"/>
      <c r="G30" s="97"/>
      <c r="I30" s="15"/>
      <c r="K30" s="15"/>
      <c r="L30" s="89"/>
      <c r="M30" s="91"/>
      <c r="N30" s="7"/>
      <c r="O30" s="1"/>
      <c r="P30" s="1"/>
      <c r="Q30" s="1"/>
      <c r="R30" s="1"/>
      <c r="S30" s="1"/>
      <c r="T30" s="1"/>
    </row>
    <row r="31" spans="1:20">
      <c r="A31" s="5"/>
      <c r="B31" s="228"/>
      <c r="C31" s="5" t="s">
        <v>45</v>
      </c>
      <c r="D31" s="5"/>
      <c r="E31" s="5"/>
      <c r="F31" s="89">
        <f>F29-G29</f>
        <v>0</v>
      </c>
      <c r="G31" s="98"/>
      <c r="H31" s="229"/>
      <c r="I31" s="7"/>
      <c r="J31" s="88"/>
      <c r="K31" s="7"/>
      <c r="L31" s="103"/>
      <c r="M31" s="85"/>
      <c r="N31" s="7"/>
      <c r="O31" s="1"/>
      <c r="P31" s="1"/>
      <c r="Q31" s="1"/>
      <c r="R31" s="1"/>
      <c r="S31" s="1"/>
      <c r="T31" s="1"/>
    </row>
    <row r="32" spans="1:20" ht="12.75">
      <c r="A32" s="5"/>
      <c r="B32" s="228"/>
      <c r="C32" s="5"/>
      <c r="D32" s="5"/>
      <c r="E32" s="5"/>
      <c r="F32" s="203"/>
      <c r="G32" s="98"/>
      <c r="H32" s="229"/>
      <c r="I32" s="7"/>
      <c r="J32" s="88"/>
      <c r="K32" s="7"/>
      <c r="L32" s="103"/>
      <c r="M32" s="85"/>
      <c r="N32" s="7"/>
      <c r="O32" s="1"/>
      <c r="P32" s="1"/>
      <c r="Q32" s="1"/>
      <c r="R32" s="1"/>
      <c r="S32" s="1"/>
      <c r="T32" s="1"/>
    </row>
    <row r="33" spans="1:20">
      <c r="A33" s="5"/>
      <c r="B33" s="5"/>
      <c r="C33" s="78" t="s">
        <v>10</v>
      </c>
      <c r="D33" s="5"/>
      <c r="E33" s="5"/>
      <c r="F33" s="273">
        <f>+C1-G29+M29</f>
        <v>1039794</v>
      </c>
      <c r="G33" s="146" t="s">
        <v>570</v>
      </c>
      <c r="H33" s="229"/>
      <c r="I33" s="7"/>
      <c r="J33" s="443"/>
      <c r="K33" s="7"/>
      <c r="L33" s="62"/>
      <c r="M33" s="289"/>
      <c r="N33" s="7"/>
      <c r="O33" s="1"/>
      <c r="P33" s="1"/>
      <c r="Q33" s="1"/>
      <c r="R33" s="1"/>
      <c r="S33" s="1"/>
      <c r="T33" s="1"/>
    </row>
    <row r="34" spans="1:20">
      <c r="J34" s="344"/>
    </row>
    <row r="35" spans="1:20">
      <c r="G35" s="230"/>
      <c r="H35" s="34"/>
      <c r="I35" s="82"/>
      <c r="J35" s="442"/>
      <c r="K35" s="16"/>
      <c r="L35" s="49"/>
      <c r="M35" s="17"/>
    </row>
    <row r="36" spans="1:20">
      <c r="D36" s="271"/>
      <c r="E36" s="315"/>
      <c r="G36" s="55"/>
      <c r="H36" s="17"/>
      <c r="I36" s="82"/>
      <c r="J36" s="16"/>
      <c r="K36" s="16"/>
      <c r="L36" s="49"/>
      <c r="M36" s="17"/>
    </row>
    <row r="37" spans="1:20">
      <c r="C37" s="5"/>
      <c r="D37" s="271"/>
      <c r="E37" s="315"/>
      <c r="G37" s="454"/>
      <c r="H37" s="370"/>
      <c r="I37" s="344"/>
      <c r="J37" s="231"/>
      <c r="K37" s="16"/>
      <c r="L37" s="49"/>
      <c r="M37" s="17"/>
    </row>
    <row r="38" spans="1:20">
      <c r="C38" s="5"/>
      <c r="D38" s="271"/>
      <c r="E38" s="315"/>
      <c r="G38" s="454"/>
      <c r="H38" s="370"/>
      <c r="I38" s="344"/>
      <c r="J38" s="231"/>
      <c r="K38" s="16"/>
      <c r="L38" s="49"/>
      <c r="M38" s="17"/>
    </row>
    <row r="39" spans="1:20">
      <c r="D39" s="78"/>
      <c r="E39" s="571"/>
      <c r="G39" s="55"/>
      <c r="H39" s="64"/>
      <c r="I39" s="82"/>
      <c r="J39" s="15"/>
      <c r="K39" s="16"/>
      <c r="L39" s="49"/>
      <c r="M39" s="17"/>
    </row>
    <row r="40" spans="1:20">
      <c r="G40" s="230"/>
      <c r="H40" s="17"/>
      <c r="I40" s="82"/>
      <c r="J40" s="231"/>
      <c r="K40" s="16"/>
      <c r="L40" s="49"/>
      <c r="M40" s="17"/>
    </row>
    <row r="41" spans="1:20">
      <c r="D41" s="148"/>
      <c r="G41" s="34"/>
      <c r="H41" s="17"/>
      <c r="I41" s="82"/>
      <c r="J41" s="15"/>
      <c r="K41" s="16"/>
      <c r="L41" s="49"/>
      <c r="M41" s="17"/>
    </row>
    <row r="42" spans="1:20">
      <c r="D42" s="317"/>
      <c r="F42" s="343"/>
      <c r="G42" s="230"/>
      <c r="H42" s="17"/>
      <c r="I42" s="344"/>
      <c r="J42" s="231"/>
      <c r="K42" s="16"/>
      <c r="L42" s="49"/>
      <c r="M42" s="17"/>
    </row>
    <row r="43" spans="1:20">
      <c r="D43" s="318"/>
      <c r="G43" s="343"/>
    </row>
    <row r="44" spans="1:20">
      <c r="G44" s="343"/>
      <c r="K44" s="64"/>
    </row>
    <row r="45" spans="1:20">
      <c r="G45" s="343"/>
      <c r="K45" s="64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7"/>
  <sheetViews>
    <sheetView workbookViewId="0">
      <selection activeCell="H23" sqref="H23"/>
    </sheetView>
  </sheetViews>
  <sheetFormatPr defaultColWidth="9.140625" defaultRowHeight="12"/>
  <cols>
    <col min="1" max="1" width="9.85546875" style="1" customWidth="1"/>
    <col min="2" max="2" width="12.140625" style="1" bestFit="1" customWidth="1"/>
    <col min="3" max="3" width="35.42578125" style="1" bestFit="1" customWidth="1"/>
    <col min="4" max="4" width="26.7109375" style="1" bestFit="1" customWidth="1"/>
    <col min="5" max="5" width="14" style="1" bestFit="1" customWidth="1"/>
    <col min="6" max="6" width="13.28515625" style="1" bestFit="1" customWidth="1"/>
    <col min="7" max="7" width="12.140625" style="1" bestFit="1" customWidth="1"/>
    <col min="8" max="8" width="13.42578125" style="1" bestFit="1" customWidth="1"/>
    <col min="9" max="9" width="10.85546875" style="1" bestFit="1" customWidth="1"/>
    <col min="10" max="10" width="12.140625" style="1" bestFit="1" customWidth="1"/>
    <col min="11" max="11" width="10.42578125" style="1" bestFit="1" customWidth="1"/>
    <col min="12" max="12" width="14" style="1" bestFit="1" customWidth="1"/>
    <col min="13" max="13" width="12.140625" style="267" bestFit="1" customWidth="1"/>
    <col min="14" max="14" width="9.85546875" style="1" bestFit="1" customWidth="1"/>
    <col min="15" max="15" width="14.140625" style="1" bestFit="1" customWidth="1"/>
    <col min="16" max="16" width="11.5703125" style="1" bestFit="1" customWidth="1"/>
    <col min="17" max="16384" width="9.140625" style="1"/>
  </cols>
  <sheetData>
    <row r="1" spans="1:20">
      <c r="A1" s="20" t="s">
        <v>12</v>
      </c>
      <c r="B1" s="28"/>
      <c r="C1" s="311">
        <f>'REGION 1'!F13+'REGION 2'!F12+'REGION 3'!F20+'REGION 4'!F12+'REGION 5'!F12+'REGION 6'!F20+'REGION 7'!F20+'REGION 8'!F12+'REGION 9'!F18+'REGION 10'!F12+'REGION 11'!F12+'REGION 12'!F13+'REGION 13'!F12</f>
        <v>416975279</v>
      </c>
      <c r="D1" s="252"/>
      <c r="E1" s="274"/>
      <c r="F1" s="71"/>
      <c r="G1" s="79"/>
      <c r="H1" s="26"/>
      <c r="I1" s="26"/>
      <c r="J1" s="80"/>
      <c r="K1" s="26"/>
      <c r="L1" s="71"/>
      <c r="M1" s="71"/>
      <c r="N1" s="246"/>
    </row>
    <row r="2" spans="1:20">
      <c r="A2" s="29" t="s">
        <v>359</v>
      </c>
      <c r="B2" s="36"/>
      <c r="C2" s="43"/>
      <c r="D2" s="253"/>
      <c r="E2" s="43"/>
      <c r="F2" s="36"/>
      <c r="G2" s="50"/>
      <c r="H2" s="34"/>
      <c r="I2" s="34"/>
      <c r="J2" s="81"/>
      <c r="K2" s="34"/>
      <c r="L2" s="72"/>
      <c r="M2" s="72"/>
      <c r="N2" s="102"/>
    </row>
    <row r="3" spans="1:20">
      <c r="A3" s="37"/>
      <c r="B3" s="10"/>
      <c r="C3" s="10"/>
      <c r="D3" s="10"/>
      <c r="E3" s="10"/>
      <c r="F3" s="57"/>
      <c r="G3" s="221"/>
      <c r="H3" s="9"/>
      <c r="I3" s="9"/>
      <c r="J3" s="481"/>
      <c r="K3" s="9"/>
      <c r="L3" s="73"/>
      <c r="M3" s="73"/>
      <c r="N3" s="35"/>
    </row>
    <row r="4" spans="1:20">
      <c r="A4" s="37" t="s">
        <v>34</v>
      </c>
      <c r="B4" s="10" t="s">
        <v>39</v>
      </c>
      <c r="C4" s="10" t="s">
        <v>32</v>
      </c>
      <c r="D4" s="30" t="s">
        <v>51</v>
      </c>
      <c r="E4" s="10" t="s">
        <v>47</v>
      </c>
      <c r="F4" s="57" t="s">
        <v>24</v>
      </c>
      <c r="G4" s="73" t="s">
        <v>8</v>
      </c>
      <c r="H4" s="9" t="s">
        <v>14</v>
      </c>
      <c r="I4" s="9" t="s">
        <v>36</v>
      </c>
      <c r="J4" s="38" t="s">
        <v>4</v>
      </c>
      <c r="K4" s="9" t="s">
        <v>346</v>
      </c>
      <c r="L4" s="73" t="s">
        <v>28</v>
      </c>
      <c r="M4" s="73" t="s">
        <v>46</v>
      </c>
      <c r="N4" s="35" t="s">
        <v>23</v>
      </c>
    </row>
    <row r="5" spans="1:20">
      <c r="A5" s="37" t="s">
        <v>50</v>
      </c>
      <c r="B5" s="10"/>
      <c r="C5" s="10"/>
      <c r="D5" s="30"/>
      <c r="E5" s="30"/>
      <c r="F5" s="57" t="s">
        <v>44</v>
      </c>
      <c r="G5" s="73" t="s">
        <v>44</v>
      </c>
      <c r="H5" s="9" t="s">
        <v>9</v>
      </c>
      <c r="I5" s="9" t="s">
        <v>18</v>
      </c>
      <c r="J5" s="38" t="s">
        <v>44</v>
      </c>
      <c r="K5" s="9" t="s">
        <v>18</v>
      </c>
      <c r="L5" s="73" t="s">
        <v>44</v>
      </c>
      <c r="M5" s="73" t="s">
        <v>44</v>
      </c>
      <c r="N5" s="35" t="s">
        <v>5</v>
      </c>
    </row>
    <row r="6" spans="1:20" ht="12.75" thickBot="1">
      <c r="A6" s="482" t="s">
        <v>22</v>
      </c>
      <c r="B6" s="39"/>
      <c r="C6" s="39"/>
      <c r="D6" s="39"/>
      <c r="E6" s="39"/>
      <c r="F6" s="59"/>
      <c r="G6" s="225"/>
      <c r="H6" s="483"/>
      <c r="I6" s="483"/>
      <c r="J6" s="224"/>
      <c r="K6" s="483"/>
      <c r="L6" s="75"/>
      <c r="M6" s="75"/>
      <c r="N6" s="48"/>
    </row>
    <row r="7" spans="1:20" s="36" customFormat="1" ht="13.5" customHeight="1">
      <c r="A7" s="1">
        <v>4585</v>
      </c>
      <c r="B7" s="444" t="s">
        <v>86</v>
      </c>
      <c r="C7" s="1" t="s">
        <v>324</v>
      </c>
      <c r="D7" s="1" t="s">
        <v>262</v>
      </c>
      <c r="E7" s="1" t="s">
        <v>83</v>
      </c>
      <c r="F7" s="477">
        <v>35000000</v>
      </c>
      <c r="G7" s="477">
        <v>35000000</v>
      </c>
      <c r="H7" s="34">
        <v>42431</v>
      </c>
      <c r="I7" s="34">
        <f>H7+35</f>
        <v>42466</v>
      </c>
      <c r="J7" s="477">
        <v>35000000</v>
      </c>
      <c r="K7" s="34">
        <f>H7+180</f>
        <v>42611</v>
      </c>
      <c r="L7" s="92">
        <v>30000000</v>
      </c>
      <c r="M7" s="477">
        <f t="shared" ref="M7:M16" si="0">G7-L7</f>
        <v>5000000</v>
      </c>
      <c r="N7" s="34">
        <v>42595</v>
      </c>
      <c r="O7" s="129"/>
    </row>
    <row r="8" spans="1:20" s="36" customFormat="1" ht="13.5" customHeight="1">
      <c r="A8" s="1">
        <v>4586</v>
      </c>
      <c r="B8" s="444" t="s">
        <v>86</v>
      </c>
      <c r="C8" s="1" t="s">
        <v>324</v>
      </c>
      <c r="D8" s="1" t="s">
        <v>329</v>
      </c>
      <c r="E8" s="1" t="s">
        <v>83</v>
      </c>
      <c r="F8" s="477">
        <v>45000000</v>
      </c>
      <c r="G8" s="477">
        <v>45000000</v>
      </c>
      <c r="H8" s="34">
        <v>42431</v>
      </c>
      <c r="I8" s="34">
        <f t="shared" ref="I8:I21" si="1">H8+35</f>
        <v>42466</v>
      </c>
      <c r="J8" s="477">
        <v>45000000</v>
      </c>
      <c r="K8" s="34">
        <f t="shared" ref="K8:K21" si="2">H8+180</f>
        <v>42611</v>
      </c>
      <c r="L8" s="625">
        <v>45000000</v>
      </c>
      <c r="M8" s="477">
        <f t="shared" si="0"/>
        <v>0</v>
      </c>
      <c r="N8" s="34">
        <v>42608</v>
      </c>
      <c r="O8" s="623"/>
    </row>
    <row r="9" spans="1:20" s="36" customFormat="1" ht="13.5" customHeight="1">
      <c r="A9" s="1">
        <v>4587</v>
      </c>
      <c r="B9" s="444" t="s">
        <v>360</v>
      </c>
      <c r="C9" s="444" t="s">
        <v>292</v>
      </c>
      <c r="D9" s="1" t="s">
        <v>330</v>
      </c>
      <c r="E9" s="1" t="s">
        <v>151</v>
      </c>
      <c r="F9" s="477">
        <v>50000000</v>
      </c>
      <c r="G9" s="477">
        <v>50000000</v>
      </c>
      <c r="H9" s="34">
        <v>42431</v>
      </c>
      <c r="I9" s="34">
        <f t="shared" si="1"/>
        <v>42466</v>
      </c>
      <c r="J9" s="477">
        <v>50000000</v>
      </c>
      <c r="K9" s="34">
        <f t="shared" si="2"/>
        <v>42611</v>
      </c>
      <c r="L9" s="92">
        <v>0</v>
      </c>
      <c r="M9" s="477">
        <f t="shared" si="0"/>
        <v>50000000</v>
      </c>
      <c r="N9" s="34">
        <v>42481</v>
      </c>
      <c r="O9" s="623"/>
    </row>
    <row r="10" spans="1:20" s="17" customFormat="1">
      <c r="A10" s="1">
        <v>4588</v>
      </c>
      <c r="B10" s="444" t="s">
        <v>360</v>
      </c>
      <c r="C10" s="1" t="s">
        <v>334</v>
      </c>
      <c r="D10" s="1" t="s">
        <v>335</v>
      </c>
      <c r="E10" s="1" t="s">
        <v>336</v>
      </c>
      <c r="F10" s="477">
        <v>15000000</v>
      </c>
      <c r="G10" s="477">
        <v>15000000</v>
      </c>
      <c r="H10" s="34">
        <v>42431</v>
      </c>
      <c r="I10" s="34">
        <f t="shared" si="1"/>
        <v>42466</v>
      </c>
      <c r="J10" s="31"/>
      <c r="K10" s="34">
        <f t="shared" si="2"/>
        <v>42611</v>
      </c>
      <c r="L10" s="92">
        <v>0</v>
      </c>
      <c r="M10" s="477">
        <f t="shared" si="0"/>
        <v>15000000</v>
      </c>
      <c r="N10" s="34">
        <v>42433</v>
      </c>
      <c r="O10" s="624"/>
      <c r="P10" s="36"/>
      <c r="Q10" s="36"/>
      <c r="R10" s="36"/>
      <c r="S10" s="36"/>
      <c r="T10" s="36"/>
    </row>
    <row r="11" spans="1:20" s="36" customFormat="1" ht="13.5" customHeight="1">
      <c r="A11" s="1">
        <v>4589</v>
      </c>
      <c r="B11" s="444" t="s">
        <v>86</v>
      </c>
      <c r="C11" s="444" t="s">
        <v>292</v>
      </c>
      <c r="D11" s="1" t="s">
        <v>332</v>
      </c>
      <c r="E11" s="1" t="s">
        <v>159</v>
      </c>
      <c r="F11" s="477">
        <v>20000000</v>
      </c>
      <c r="G11" s="477">
        <v>20000000</v>
      </c>
      <c r="H11" s="34">
        <v>42431</v>
      </c>
      <c r="I11" s="34">
        <f t="shared" si="1"/>
        <v>42466</v>
      </c>
      <c r="J11" s="50">
        <v>20000000</v>
      </c>
      <c r="K11" s="34">
        <f t="shared" si="2"/>
        <v>42611</v>
      </c>
      <c r="L11" s="92">
        <v>0</v>
      </c>
      <c r="M11" s="92">
        <f t="shared" si="0"/>
        <v>20000000</v>
      </c>
      <c r="N11" s="34">
        <v>42608</v>
      </c>
      <c r="O11" s="129"/>
    </row>
    <row r="12" spans="1:20" s="17" customFormat="1">
      <c r="A12" s="1">
        <v>4590</v>
      </c>
      <c r="B12" s="444" t="s">
        <v>86</v>
      </c>
      <c r="C12" s="1" t="s">
        <v>224</v>
      </c>
      <c r="D12" s="1" t="s">
        <v>368</v>
      </c>
      <c r="E12" s="1" t="s">
        <v>85</v>
      </c>
      <c r="F12" s="477">
        <v>50000000</v>
      </c>
      <c r="G12" s="477">
        <v>50000000</v>
      </c>
      <c r="H12" s="34">
        <v>42431</v>
      </c>
      <c r="I12" s="34">
        <f t="shared" si="1"/>
        <v>42466</v>
      </c>
      <c r="J12" s="477">
        <v>50000000</v>
      </c>
      <c r="K12" s="34">
        <f t="shared" si="2"/>
        <v>42611</v>
      </c>
      <c r="L12" s="477">
        <v>31000000</v>
      </c>
      <c r="M12" s="477">
        <f t="shared" si="0"/>
        <v>19000000</v>
      </c>
      <c r="N12" s="34">
        <v>42608</v>
      </c>
      <c r="O12" s="36"/>
      <c r="P12" s="36"/>
      <c r="Q12" s="36"/>
      <c r="R12" s="36"/>
      <c r="S12" s="36"/>
      <c r="T12" s="36"/>
    </row>
    <row r="13" spans="1:20" s="17" customFormat="1">
      <c r="A13" s="1">
        <v>4591</v>
      </c>
      <c r="B13" s="444" t="s">
        <v>360</v>
      </c>
      <c r="C13" s="1" t="s">
        <v>224</v>
      </c>
      <c r="D13" s="1" t="s">
        <v>378</v>
      </c>
      <c r="E13" s="1" t="s">
        <v>85</v>
      </c>
      <c r="F13" s="477">
        <v>37000000</v>
      </c>
      <c r="G13" s="477">
        <v>37000000</v>
      </c>
      <c r="H13" s="34">
        <v>42431</v>
      </c>
      <c r="I13" s="34">
        <f t="shared" si="1"/>
        <v>42466</v>
      </c>
      <c r="J13" s="477">
        <v>37000000</v>
      </c>
      <c r="K13" s="34">
        <f t="shared" si="2"/>
        <v>42611</v>
      </c>
      <c r="L13" s="477"/>
      <c r="M13" s="477">
        <f t="shared" si="0"/>
        <v>37000000</v>
      </c>
      <c r="N13" s="34">
        <v>42607</v>
      </c>
      <c r="O13" s="36"/>
      <c r="P13" s="36"/>
      <c r="Q13" s="36"/>
      <c r="R13" s="36"/>
      <c r="S13" s="36"/>
      <c r="T13" s="36"/>
    </row>
    <row r="14" spans="1:20" s="17" customFormat="1">
      <c r="A14" s="1">
        <v>4592</v>
      </c>
      <c r="B14" s="444" t="s">
        <v>86</v>
      </c>
      <c r="C14" s="1" t="s">
        <v>297</v>
      </c>
      <c r="D14" s="1" t="s">
        <v>384</v>
      </c>
      <c r="E14" s="1" t="s">
        <v>84</v>
      </c>
      <c r="F14" s="477">
        <v>30000000</v>
      </c>
      <c r="G14" s="477">
        <v>30000000</v>
      </c>
      <c r="H14" s="34">
        <v>42431</v>
      </c>
      <c r="I14" s="34">
        <f t="shared" si="1"/>
        <v>42466</v>
      </c>
      <c r="J14" s="477">
        <v>30000000</v>
      </c>
      <c r="K14" s="34">
        <f t="shared" si="2"/>
        <v>42611</v>
      </c>
      <c r="L14" s="477">
        <v>30000000</v>
      </c>
      <c r="M14" s="477">
        <f t="shared" si="0"/>
        <v>0</v>
      </c>
      <c r="N14" s="34">
        <v>42608</v>
      </c>
      <c r="O14" s="36"/>
      <c r="P14" s="36"/>
      <c r="Q14" s="36"/>
      <c r="R14" s="36"/>
      <c r="S14" s="36"/>
      <c r="T14" s="36"/>
    </row>
    <row r="15" spans="1:20" s="36" customFormat="1" ht="13.5" customHeight="1">
      <c r="A15" s="1">
        <v>4600</v>
      </c>
      <c r="B15" s="444" t="s">
        <v>360</v>
      </c>
      <c r="C15" s="1" t="s">
        <v>324</v>
      </c>
      <c r="D15" s="1" t="s">
        <v>387</v>
      </c>
      <c r="E15" s="1" t="s">
        <v>388</v>
      </c>
      <c r="F15" s="477">
        <v>35000000</v>
      </c>
      <c r="G15" s="477">
        <v>35000000</v>
      </c>
      <c r="H15" s="34">
        <v>42467</v>
      </c>
      <c r="I15" s="34">
        <f t="shared" si="1"/>
        <v>42502</v>
      </c>
      <c r="J15" s="477">
        <v>34000000</v>
      </c>
      <c r="K15" s="34">
        <f t="shared" si="2"/>
        <v>42647</v>
      </c>
      <c r="L15" s="92"/>
      <c r="M15" s="477">
        <f t="shared" si="0"/>
        <v>35000000</v>
      </c>
      <c r="N15" s="34">
        <v>42616</v>
      </c>
      <c r="O15" s="346"/>
    </row>
    <row r="16" spans="1:20" s="17" customFormat="1">
      <c r="A16" s="1">
        <v>4601</v>
      </c>
      <c r="B16" s="444" t="s">
        <v>86</v>
      </c>
      <c r="C16" s="1" t="s">
        <v>391</v>
      </c>
      <c r="D16" s="1" t="s">
        <v>392</v>
      </c>
      <c r="E16" s="1" t="s">
        <v>393</v>
      </c>
      <c r="F16" s="477">
        <v>35000000</v>
      </c>
      <c r="G16" s="477">
        <v>35000000</v>
      </c>
      <c r="H16" s="34">
        <v>42467</v>
      </c>
      <c r="I16" s="34">
        <f t="shared" si="1"/>
        <v>42502</v>
      </c>
      <c r="J16" s="477">
        <v>35000000</v>
      </c>
      <c r="K16" s="34">
        <f t="shared" si="2"/>
        <v>42647</v>
      </c>
      <c r="L16" s="50">
        <v>33000000</v>
      </c>
      <c r="M16" s="477">
        <f t="shared" si="0"/>
        <v>2000000</v>
      </c>
      <c r="N16" s="34">
        <v>42643</v>
      </c>
      <c r="O16" s="36"/>
      <c r="P16" s="36"/>
      <c r="Q16" s="36"/>
      <c r="R16" s="36"/>
      <c r="S16" s="36"/>
      <c r="T16" s="36"/>
    </row>
    <row r="17" spans="1:20" s="17" customFormat="1">
      <c r="A17" s="271">
        <v>4602</v>
      </c>
      <c r="B17" s="444" t="s">
        <v>360</v>
      </c>
      <c r="C17" s="1" t="s">
        <v>224</v>
      </c>
      <c r="D17" s="1" t="s">
        <v>404</v>
      </c>
      <c r="E17" s="1" t="s">
        <v>85</v>
      </c>
      <c r="F17" s="477">
        <v>20000000</v>
      </c>
      <c r="G17" s="477">
        <v>20000000</v>
      </c>
      <c r="H17" s="34">
        <v>42467</v>
      </c>
      <c r="I17" s="34">
        <f t="shared" si="1"/>
        <v>42502</v>
      </c>
      <c r="J17" s="477">
        <v>20000000</v>
      </c>
      <c r="K17" s="34">
        <f t="shared" si="2"/>
        <v>42647</v>
      </c>
      <c r="L17" s="92">
        <v>0</v>
      </c>
      <c r="M17" s="477">
        <f>G17-L17</f>
        <v>20000000</v>
      </c>
      <c r="N17" s="34">
        <v>42588</v>
      </c>
      <c r="O17" s="36"/>
      <c r="P17" s="36"/>
      <c r="Q17" s="36"/>
      <c r="R17" s="36"/>
      <c r="S17" s="36"/>
      <c r="T17" s="36"/>
    </row>
    <row r="18" spans="1:20" s="17" customFormat="1">
      <c r="A18" s="271">
        <v>4606</v>
      </c>
      <c r="B18" s="444" t="s">
        <v>86</v>
      </c>
      <c r="C18" s="52" t="s">
        <v>224</v>
      </c>
      <c r="D18" s="52" t="s">
        <v>407</v>
      </c>
      <c r="E18" s="52" t="s">
        <v>85</v>
      </c>
      <c r="F18" s="2">
        <v>25000000</v>
      </c>
      <c r="G18" s="2">
        <v>25000000</v>
      </c>
      <c r="H18" s="179">
        <v>42482</v>
      </c>
      <c r="I18" s="163">
        <f t="shared" si="1"/>
        <v>42517</v>
      </c>
      <c r="J18" s="2">
        <v>25000000</v>
      </c>
      <c r="K18" s="561">
        <f t="shared" si="2"/>
        <v>42662</v>
      </c>
      <c r="L18" s="92">
        <v>21250000</v>
      </c>
      <c r="M18" s="72">
        <f>J18-L18</f>
        <v>3750000</v>
      </c>
      <c r="N18" s="34">
        <v>42655</v>
      </c>
      <c r="O18" s="36"/>
      <c r="P18" s="36"/>
      <c r="Q18" s="36"/>
      <c r="R18" s="36"/>
      <c r="S18" s="36"/>
      <c r="T18" s="36"/>
    </row>
    <row r="19" spans="1:20" s="17" customFormat="1">
      <c r="A19" s="1">
        <v>4628</v>
      </c>
      <c r="B19" s="444" t="s">
        <v>360</v>
      </c>
      <c r="C19" s="1" t="s">
        <v>409</v>
      </c>
      <c r="D19" s="1" t="s">
        <v>410</v>
      </c>
      <c r="E19" s="1" t="s">
        <v>411</v>
      </c>
      <c r="F19" s="477">
        <v>20000000</v>
      </c>
      <c r="G19" s="477">
        <v>20000000</v>
      </c>
      <c r="H19" s="179">
        <v>42552</v>
      </c>
      <c r="I19" s="163">
        <f t="shared" si="1"/>
        <v>42587</v>
      </c>
      <c r="J19" s="477">
        <v>16000000</v>
      </c>
      <c r="K19" s="561">
        <f t="shared" si="2"/>
        <v>42732</v>
      </c>
      <c r="L19" s="92"/>
      <c r="M19" s="477">
        <f>G19-L19</f>
        <v>20000000</v>
      </c>
      <c r="N19" s="34">
        <v>42689</v>
      </c>
      <c r="O19" s="36"/>
      <c r="P19" s="36"/>
      <c r="Q19" s="36"/>
      <c r="R19" s="36"/>
      <c r="S19" s="36"/>
      <c r="T19" s="36"/>
    </row>
    <row r="20" spans="1:20" s="17" customFormat="1">
      <c r="A20" s="1">
        <v>4629</v>
      </c>
      <c r="B20" s="444" t="s">
        <v>86</v>
      </c>
      <c r="C20" s="1" t="s">
        <v>279</v>
      </c>
      <c r="D20" s="1" t="s">
        <v>300</v>
      </c>
      <c r="E20" s="1" t="s">
        <v>84</v>
      </c>
      <c r="F20" s="477">
        <v>12000000</v>
      </c>
      <c r="G20" s="477">
        <v>12000000</v>
      </c>
      <c r="H20" s="179">
        <v>42552</v>
      </c>
      <c r="I20" s="163">
        <f t="shared" si="1"/>
        <v>42587</v>
      </c>
      <c r="J20" s="477">
        <v>12000000</v>
      </c>
      <c r="K20" s="561">
        <f t="shared" si="2"/>
        <v>42732</v>
      </c>
      <c r="L20" s="92">
        <v>9000000</v>
      </c>
      <c r="M20" s="477">
        <f t="shared" ref="M20" si="3">G20-L20</f>
        <v>3000000</v>
      </c>
      <c r="N20" s="34">
        <v>42648</v>
      </c>
      <c r="O20" s="36"/>
      <c r="P20" s="36"/>
      <c r="Q20" s="36"/>
      <c r="R20" s="36"/>
      <c r="S20" s="36"/>
      <c r="T20" s="36"/>
    </row>
    <row r="21" spans="1:20">
      <c r="A21" s="241">
        <v>4635</v>
      </c>
      <c r="B21" s="444" t="s">
        <v>80</v>
      </c>
      <c r="C21" s="129" t="s">
        <v>324</v>
      </c>
      <c r="D21" s="129" t="s">
        <v>414</v>
      </c>
      <c r="E21" s="129" t="s">
        <v>83</v>
      </c>
      <c r="F21" s="50">
        <v>30000000</v>
      </c>
      <c r="G21" s="50">
        <v>30000000</v>
      </c>
      <c r="H21" s="34">
        <v>42563</v>
      </c>
      <c r="I21" s="163">
        <f t="shared" si="1"/>
        <v>42598</v>
      </c>
      <c r="J21" s="50">
        <v>30000000</v>
      </c>
      <c r="K21" s="34">
        <f t="shared" si="2"/>
        <v>42743</v>
      </c>
      <c r="L21" s="438"/>
      <c r="M21" s="438"/>
      <c r="N21" s="34"/>
    </row>
    <row r="22" spans="1:20">
      <c r="A22" s="129" t="s">
        <v>425</v>
      </c>
      <c r="B22" s="52" t="s">
        <v>45</v>
      </c>
      <c r="C22" s="297" t="s">
        <v>260</v>
      </c>
      <c r="D22" s="129" t="s">
        <v>424</v>
      </c>
      <c r="E22" s="129" t="s">
        <v>83</v>
      </c>
      <c r="F22" s="50"/>
      <c r="G22" s="438"/>
      <c r="H22" s="346"/>
      <c r="I22" s="346"/>
      <c r="J22" s="438"/>
      <c r="K22" s="346"/>
      <c r="L22" s="438"/>
      <c r="M22" s="438"/>
      <c r="N22" s="34"/>
    </row>
    <row r="23" spans="1:20">
      <c r="A23" s="241">
        <v>4607</v>
      </c>
      <c r="B23" s="444" t="s">
        <v>360</v>
      </c>
      <c r="C23" s="297" t="s">
        <v>292</v>
      </c>
      <c r="D23" s="129" t="s">
        <v>431</v>
      </c>
      <c r="E23" s="129" t="s">
        <v>151</v>
      </c>
      <c r="F23" s="50">
        <v>17500000</v>
      </c>
      <c r="G23" s="50">
        <v>17500000</v>
      </c>
      <c r="H23" s="179">
        <v>42482</v>
      </c>
      <c r="I23" s="163">
        <f t="shared" ref="I23" si="4">H23+35</f>
        <v>42517</v>
      </c>
      <c r="J23" s="92">
        <v>0</v>
      </c>
      <c r="K23" s="561">
        <f t="shared" ref="K23" si="5">H23+180</f>
        <v>42662</v>
      </c>
      <c r="L23" s="438">
        <v>0</v>
      </c>
      <c r="M23" s="477">
        <f>G23-L23</f>
        <v>17500000</v>
      </c>
      <c r="N23" s="34">
        <v>42515</v>
      </c>
    </row>
    <row r="24" spans="1:20">
      <c r="A24" s="129" t="s">
        <v>432</v>
      </c>
      <c r="B24" s="52" t="s">
        <v>45</v>
      </c>
      <c r="C24" s="297" t="s">
        <v>315</v>
      </c>
      <c r="D24" s="129" t="s">
        <v>433</v>
      </c>
      <c r="E24" s="129" t="s">
        <v>317</v>
      </c>
      <c r="F24" s="50"/>
      <c r="G24" s="574"/>
      <c r="H24" s="346"/>
      <c r="I24" s="346"/>
      <c r="J24" s="574"/>
      <c r="K24" s="346"/>
      <c r="L24" s="438"/>
      <c r="M24" s="438"/>
      <c r="N24" s="34"/>
    </row>
    <row r="25" spans="1:20">
      <c r="A25" s="129" t="s">
        <v>439</v>
      </c>
      <c r="B25" s="52" t="s">
        <v>45</v>
      </c>
      <c r="C25" s="444" t="s">
        <v>292</v>
      </c>
      <c r="D25" s="1" t="s">
        <v>330</v>
      </c>
      <c r="E25" s="1" t="s">
        <v>151</v>
      </c>
      <c r="F25" s="477"/>
      <c r="G25" s="438"/>
      <c r="H25" s="346"/>
      <c r="I25" s="346"/>
      <c r="J25" s="438"/>
      <c r="K25" s="346"/>
      <c r="L25" s="438"/>
      <c r="M25" s="438"/>
      <c r="N25" s="34"/>
    </row>
    <row r="26" spans="1:20">
      <c r="A26" s="129" t="s">
        <v>447</v>
      </c>
      <c r="B26" s="52" t="s">
        <v>45</v>
      </c>
      <c r="C26" s="444" t="s">
        <v>444</v>
      </c>
      <c r="D26" s="1" t="s">
        <v>445</v>
      </c>
      <c r="E26" s="1" t="s">
        <v>446</v>
      </c>
      <c r="F26" s="477"/>
      <c r="G26" s="438"/>
      <c r="H26" s="346"/>
      <c r="I26" s="346"/>
      <c r="J26" s="438"/>
      <c r="K26" s="346"/>
      <c r="L26" s="438"/>
      <c r="M26" s="438"/>
      <c r="N26" s="34"/>
    </row>
    <row r="27" spans="1:20">
      <c r="A27" s="129" t="s">
        <v>448</v>
      </c>
      <c r="B27" s="52" t="s">
        <v>45</v>
      </c>
      <c r="C27" s="52" t="s">
        <v>224</v>
      </c>
      <c r="D27" s="1" t="s">
        <v>449</v>
      </c>
      <c r="E27" s="1" t="s">
        <v>85</v>
      </c>
      <c r="F27" s="477"/>
      <c r="G27" s="438"/>
      <c r="H27" s="346"/>
      <c r="I27" s="346"/>
      <c r="J27" s="438"/>
      <c r="K27" s="346"/>
      <c r="L27" s="438"/>
      <c r="M27" s="438"/>
      <c r="N27" s="34"/>
    </row>
    <row r="28" spans="1:20">
      <c r="A28" s="129" t="s">
        <v>452</v>
      </c>
      <c r="B28" s="52" t="s">
        <v>45</v>
      </c>
      <c r="C28" s="129" t="s">
        <v>324</v>
      </c>
      <c r="D28" s="1" t="s">
        <v>451</v>
      </c>
      <c r="E28" s="1" t="s">
        <v>83</v>
      </c>
      <c r="F28" s="477"/>
      <c r="G28" s="438"/>
      <c r="H28" s="346"/>
      <c r="I28" s="346"/>
      <c r="J28" s="438"/>
      <c r="K28" s="346"/>
      <c r="L28" s="438"/>
      <c r="M28" s="438"/>
      <c r="N28" s="34"/>
    </row>
    <row r="29" spans="1:20">
      <c r="A29" s="129" t="s">
        <v>456</v>
      </c>
      <c r="B29" s="52" t="s">
        <v>45</v>
      </c>
      <c r="C29" s="129" t="s">
        <v>457</v>
      </c>
      <c r="D29" s="1" t="s">
        <v>458</v>
      </c>
      <c r="E29" s="1" t="s">
        <v>82</v>
      </c>
      <c r="F29" s="477"/>
      <c r="G29" s="438"/>
      <c r="H29" s="346"/>
      <c r="I29" s="346"/>
      <c r="J29" s="438"/>
      <c r="K29" s="346"/>
      <c r="L29" s="438"/>
      <c r="M29" s="438"/>
      <c r="N29" s="34"/>
    </row>
    <row r="30" spans="1:20">
      <c r="A30" s="129" t="s">
        <v>459</v>
      </c>
      <c r="B30" s="52" t="s">
        <v>45</v>
      </c>
      <c r="C30" s="129" t="s">
        <v>457</v>
      </c>
      <c r="D30" s="1" t="s">
        <v>460</v>
      </c>
      <c r="E30" s="1" t="s">
        <v>82</v>
      </c>
      <c r="F30" s="477"/>
      <c r="G30" s="438"/>
      <c r="H30" s="346"/>
      <c r="I30" s="346"/>
      <c r="J30" s="438"/>
      <c r="K30" s="346"/>
      <c r="L30" s="438"/>
      <c r="M30" s="438"/>
      <c r="N30" s="34"/>
    </row>
    <row r="31" spans="1:20">
      <c r="A31" s="129" t="s">
        <v>461</v>
      </c>
      <c r="B31" s="52" t="s">
        <v>45</v>
      </c>
      <c r="C31" s="129" t="s">
        <v>260</v>
      </c>
      <c r="D31" s="1" t="s">
        <v>462</v>
      </c>
      <c r="E31" s="1" t="s">
        <v>83</v>
      </c>
      <c r="F31" s="477"/>
      <c r="G31" s="438"/>
      <c r="H31" s="346"/>
      <c r="I31" s="346"/>
      <c r="J31" s="438"/>
      <c r="K31" s="346"/>
      <c r="L31" s="438"/>
      <c r="M31" s="438"/>
      <c r="N31" s="34"/>
    </row>
    <row r="32" spans="1:20">
      <c r="A32" s="129" t="s">
        <v>467</v>
      </c>
      <c r="B32" s="52" t="s">
        <v>45</v>
      </c>
      <c r="C32" s="129" t="s">
        <v>324</v>
      </c>
      <c r="D32" s="1" t="s">
        <v>470</v>
      </c>
      <c r="E32" s="1" t="s">
        <v>83</v>
      </c>
      <c r="F32" s="477"/>
      <c r="G32" s="438"/>
      <c r="H32" s="346"/>
      <c r="I32" s="346"/>
      <c r="J32" s="438"/>
      <c r="K32" s="346"/>
      <c r="L32" s="438"/>
      <c r="M32" s="438"/>
      <c r="N32" s="34"/>
    </row>
    <row r="33" spans="1:14">
      <c r="A33" s="129" t="s">
        <v>479</v>
      </c>
      <c r="B33" s="52" t="s">
        <v>45</v>
      </c>
      <c r="C33" s="129" t="s">
        <v>381</v>
      </c>
      <c r="D33" s="52" t="s">
        <v>380</v>
      </c>
      <c r="E33" s="129" t="s">
        <v>230</v>
      </c>
      <c r="F33" s="477"/>
      <c r="G33" s="438"/>
      <c r="H33" s="346"/>
      <c r="I33" s="346"/>
      <c r="J33" s="438"/>
      <c r="K33" s="346"/>
      <c r="L33" s="438"/>
      <c r="M33" s="438"/>
      <c r="N33" s="34"/>
    </row>
    <row r="34" spans="1:14">
      <c r="A34" s="129" t="s">
        <v>484</v>
      </c>
      <c r="B34" s="52" t="s">
        <v>45</v>
      </c>
      <c r="C34" s="1" t="s">
        <v>391</v>
      </c>
      <c r="D34" s="52" t="s">
        <v>483</v>
      </c>
      <c r="E34" s="129" t="s">
        <v>393</v>
      </c>
      <c r="F34" s="477"/>
      <c r="G34" s="438"/>
      <c r="H34" s="346"/>
      <c r="I34" s="346"/>
      <c r="J34" s="438"/>
      <c r="K34" s="346"/>
      <c r="L34" s="438"/>
      <c r="M34" s="438"/>
      <c r="N34" s="34"/>
    </row>
    <row r="35" spans="1:14">
      <c r="A35" s="129" t="s">
        <v>489</v>
      </c>
      <c r="B35" s="52" t="s">
        <v>45</v>
      </c>
      <c r="C35" s="1" t="s">
        <v>292</v>
      </c>
      <c r="D35" s="52" t="s">
        <v>332</v>
      </c>
      <c r="E35" s="129" t="s">
        <v>159</v>
      </c>
      <c r="F35" s="477"/>
      <c r="G35" s="438"/>
      <c r="H35" s="346"/>
      <c r="I35" s="346"/>
      <c r="J35" s="438"/>
      <c r="K35" s="346"/>
      <c r="L35" s="438"/>
      <c r="M35" s="438"/>
      <c r="N35" s="34"/>
    </row>
    <row r="36" spans="1:14">
      <c r="A36" s="129" t="s">
        <v>494</v>
      </c>
      <c r="B36" s="52" t="s">
        <v>45</v>
      </c>
      <c r="C36" s="1" t="s">
        <v>292</v>
      </c>
      <c r="D36" s="52" t="s">
        <v>495</v>
      </c>
      <c r="E36" s="129" t="s">
        <v>496</v>
      </c>
      <c r="F36" s="477"/>
      <c r="G36" s="438"/>
      <c r="H36" s="346"/>
      <c r="I36" s="346"/>
      <c r="J36" s="438"/>
      <c r="K36" s="346"/>
      <c r="L36" s="438"/>
      <c r="M36" s="438"/>
      <c r="N36" s="34"/>
    </row>
    <row r="37" spans="1:14">
      <c r="A37" s="129" t="s">
        <v>499</v>
      </c>
      <c r="B37" s="52" t="s">
        <v>45</v>
      </c>
      <c r="C37" s="1" t="s">
        <v>497</v>
      </c>
      <c r="D37" s="52" t="s">
        <v>498</v>
      </c>
      <c r="E37" s="129" t="s">
        <v>85</v>
      </c>
      <c r="F37" s="477"/>
      <c r="G37" s="438"/>
      <c r="H37" s="346"/>
      <c r="I37" s="346"/>
      <c r="J37" s="438"/>
      <c r="K37" s="346"/>
      <c r="L37" s="438"/>
      <c r="M37" s="438"/>
      <c r="N37" s="34"/>
    </row>
    <row r="38" spans="1:14">
      <c r="A38" s="129" t="s">
        <v>517</v>
      </c>
      <c r="B38" s="52" t="s">
        <v>45</v>
      </c>
      <c r="C38" s="297" t="s">
        <v>540</v>
      </c>
      <c r="D38" s="52" t="s">
        <v>518</v>
      </c>
      <c r="E38" s="129" t="s">
        <v>83</v>
      </c>
      <c r="F38" s="477"/>
      <c r="G38" s="438"/>
      <c r="H38" s="346"/>
      <c r="I38" s="346"/>
      <c r="J38" s="438"/>
      <c r="K38" s="346"/>
      <c r="L38" s="438"/>
      <c r="M38" s="438"/>
      <c r="N38" s="34"/>
    </row>
    <row r="39" spans="1:14">
      <c r="A39" s="129" t="s">
        <v>529</v>
      </c>
      <c r="B39" s="52" t="s">
        <v>45</v>
      </c>
      <c r="C39" s="52" t="s">
        <v>224</v>
      </c>
      <c r="D39" s="52" t="s">
        <v>530</v>
      </c>
      <c r="E39" s="129" t="s">
        <v>85</v>
      </c>
      <c r="F39" s="477"/>
      <c r="G39" s="438"/>
      <c r="H39" s="346"/>
      <c r="I39" s="346"/>
      <c r="J39" s="438"/>
      <c r="K39" s="346"/>
      <c r="L39" s="438"/>
      <c r="M39" s="438"/>
      <c r="N39" s="34"/>
    </row>
    <row r="40" spans="1:14">
      <c r="A40" s="129" t="s">
        <v>531</v>
      </c>
      <c r="B40" s="52" t="s">
        <v>45</v>
      </c>
      <c r="C40" s="1" t="s">
        <v>224</v>
      </c>
      <c r="D40" s="1" t="s">
        <v>404</v>
      </c>
      <c r="E40" s="1" t="s">
        <v>85</v>
      </c>
      <c r="F40" s="477"/>
      <c r="G40" s="438"/>
      <c r="H40" s="346"/>
      <c r="I40" s="346"/>
      <c r="J40" s="438"/>
      <c r="K40" s="346"/>
      <c r="L40" s="438"/>
      <c r="M40" s="438"/>
      <c r="N40" s="34"/>
    </row>
    <row r="41" spans="1:14" s="129" customFormat="1">
      <c r="A41" s="129" t="s">
        <v>539</v>
      </c>
      <c r="B41" s="129" t="s">
        <v>45</v>
      </c>
      <c r="C41" s="297" t="s">
        <v>540</v>
      </c>
      <c r="D41" s="129" t="s">
        <v>543</v>
      </c>
      <c r="E41" s="129" t="s">
        <v>83</v>
      </c>
      <c r="F41" s="616"/>
      <c r="G41" s="614"/>
      <c r="H41" s="606"/>
      <c r="I41" s="346"/>
      <c r="J41" s="615"/>
      <c r="K41" s="346"/>
      <c r="L41" s="615"/>
      <c r="M41" s="615"/>
      <c r="N41" s="346"/>
    </row>
    <row r="42" spans="1:14" s="129" customFormat="1">
      <c r="A42" s="129" t="s">
        <v>551</v>
      </c>
      <c r="B42" s="129" t="s">
        <v>45</v>
      </c>
      <c r="C42" s="297" t="s">
        <v>324</v>
      </c>
      <c r="D42" s="129" t="s">
        <v>552</v>
      </c>
      <c r="E42" s="129" t="s">
        <v>388</v>
      </c>
      <c r="F42" s="616"/>
      <c r="G42" s="614"/>
      <c r="H42" s="606"/>
      <c r="I42" s="346"/>
      <c r="J42" s="615"/>
      <c r="K42" s="346"/>
      <c r="L42" s="615"/>
      <c r="M42" s="615"/>
      <c r="N42" s="346"/>
    </row>
    <row r="43" spans="1:14" s="4" customFormat="1">
      <c r="A43" s="10"/>
      <c r="B43" s="99"/>
      <c r="C43" s="297"/>
      <c r="D43" s="10"/>
      <c r="E43" s="10"/>
      <c r="F43" s="120"/>
      <c r="G43" s="120"/>
      <c r="H43" s="413"/>
      <c r="I43" s="413"/>
      <c r="J43" s="120"/>
      <c r="K43" s="413"/>
      <c r="L43" s="120"/>
      <c r="M43" s="120"/>
      <c r="N43" s="9"/>
    </row>
    <row r="44" spans="1:14">
      <c r="A44" s="17"/>
      <c r="B44" s="52"/>
      <c r="C44" s="40"/>
      <c r="D44" s="17" t="s">
        <v>19</v>
      </c>
      <c r="E44" s="17"/>
      <c r="F44" s="457">
        <f>SUM(F7:F43)</f>
        <v>476500000</v>
      </c>
      <c r="G44" s="457">
        <f>SUM(G7:G43)</f>
        <v>476500000</v>
      </c>
      <c r="H44" s="97"/>
      <c r="I44" s="97"/>
      <c r="J44" s="457">
        <f>SUM(J7:J43)</f>
        <v>439000000</v>
      </c>
      <c r="K44" s="97"/>
      <c r="L44" s="457">
        <f>SUM(L7:L43)</f>
        <v>199250000</v>
      </c>
      <c r="M44" s="457">
        <f>SUM(M7:M43)</f>
        <v>247250000</v>
      </c>
      <c r="N44" s="17"/>
    </row>
    <row r="45" spans="1:14">
      <c r="A45" s="17"/>
      <c r="B45" s="52"/>
      <c r="C45" s="17"/>
      <c r="D45" s="17"/>
      <c r="E45" s="17"/>
      <c r="F45" s="89"/>
      <c r="G45" s="49"/>
      <c r="H45" s="15"/>
      <c r="I45" s="15"/>
      <c r="J45" s="91"/>
      <c r="K45" s="15"/>
      <c r="L45" s="76"/>
      <c r="M45" s="76"/>
      <c r="N45" s="17"/>
    </row>
    <row r="46" spans="1:14">
      <c r="A46" s="17"/>
      <c r="B46" s="52"/>
      <c r="C46" s="17"/>
      <c r="D46" s="17" t="s">
        <v>45</v>
      </c>
      <c r="E46" s="17"/>
      <c r="F46" s="76">
        <f>F44-G44</f>
        <v>0</v>
      </c>
      <c r="G46" s="49"/>
      <c r="H46" s="17"/>
      <c r="I46" s="17"/>
      <c r="J46" s="91"/>
      <c r="K46" s="15"/>
      <c r="L46" s="76"/>
      <c r="M46" s="76"/>
      <c r="N46" s="17"/>
    </row>
    <row r="47" spans="1:14">
      <c r="A47" s="17"/>
      <c r="B47" s="52"/>
      <c r="C47" s="17"/>
      <c r="D47" s="17"/>
      <c r="E47" s="17"/>
      <c r="F47" s="89"/>
      <c r="G47" s="49"/>
      <c r="H47" s="17"/>
      <c r="I47" s="17"/>
      <c r="J47" s="82"/>
      <c r="K47" s="15"/>
      <c r="L47" s="76"/>
      <c r="M47" s="76"/>
      <c r="N47" s="17"/>
    </row>
    <row r="48" spans="1:14">
      <c r="D48" s="78" t="s">
        <v>10</v>
      </c>
      <c r="E48" s="17"/>
      <c r="F48" s="435">
        <f>+C1-G44+M44+E53</f>
        <v>187725279</v>
      </c>
      <c r="G48" s="146" t="s">
        <v>570</v>
      </c>
      <c r="J48" s="116"/>
    </row>
    <row r="49" spans="3:10">
      <c r="J49" s="313"/>
    </row>
    <row r="50" spans="3:10">
      <c r="C50" s="444"/>
      <c r="D50" s="17"/>
      <c r="E50" s="368"/>
      <c r="F50" s="358"/>
      <c r="G50" s="313"/>
      <c r="J50" s="116"/>
    </row>
    <row r="51" spans="3:10">
      <c r="C51" s="444"/>
      <c r="D51" s="17"/>
      <c r="E51" s="368"/>
      <c r="F51" s="359"/>
      <c r="G51" s="459"/>
    </row>
    <row r="52" spans="3:10">
      <c r="D52" s="17"/>
      <c r="E52" s="107"/>
      <c r="F52" s="359"/>
      <c r="G52" s="459"/>
    </row>
    <row r="53" spans="3:10">
      <c r="E53" s="564">
        <f>SUM(E50:E52)</f>
        <v>0</v>
      </c>
      <c r="F53" s="359"/>
      <c r="G53" s="459"/>
    </row>
    <row r="54" spans="3:10">
      <c r="D54" s="444"/>
      <c r="E54" s="2"/>
      <c r="F54" s="4" t="s">
        <v>408</v>
      </c>
      <c r="G54" s="359"/>
    </row>
    <row r="55" spans="3:10">
      <c r="D55" s="444"/>
      <c r="E55" s="2"/>
    </row>
    <row r="56" spans="3:10">
      <c r="D56" s="371"/>
      <c r="E56" s="2"/>
      <c r="F56" s="313"/>
      <c r="G56" s="313"/>
    </row>
    <row r="57" spans="3:10">
      <c r="E57" s="368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2020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2017 CF</vt:lpstr>
      <vt:lpstr>2018 CF</vt:lpstr>
      <vt:lpstr>2019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2019-02-19T15:22:39Z</cp:lastPrinted>
  <dcterms:created xsi:type="dcterms:W3CDTF">1998-10-28T19:13:07Z</dcterms:created>
  <dcterms:modified xsi:type="dcterms:W3CDTF">2021-06-23T21:47:12Z</dcterms:modified>
</cp:coreProperties>
</file>